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30" tabRatio="602" firstSheet="8" activeTab="16"/>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MetasRPPS" sheetId="8" r:id="rId8"/>
    <sheet name=" Avaliação" sheetId="9" r:id="rId9"/>
    <sheet name="Comparação" sheetId="10" r:id="rId10"/>
    <sheet name=" Patrimônio" sheetId="11" r:id="rId11"/>
    <sheet name=" Alienação" sheetId="12" r:id="rId12"/>
    <sheet name="RPPS-Fin-Atuarial" sheetId="13" r:id="rId13"/>
    <sheet name="Renúncia" sheetId="14" r:id="rId14"/>
    <sheet name="DOCC" sheetId="15" r:id="rId15"/>
    <sheet name="Anexo Riscos" sheetId="16" r:id="rId16"/>
    <sheet name="Anexo III - Metas e Priorid" sheetId="17" r:id="rId17"/>
    <sheet name="Anexo IV - Consdo Patrimônio" sheetId="18" r:id="rId18"/>
  </sheets>
  <externalReferences>
    <externalReference r:id="rId21"/>
  </externalReferences>
  <definedNames>
    <definedName name="_xlfn.SINGLE" hidden="1">#NAME?</definedName>
    <definedName name="_xlnm.Print_Area" localSheetId="17">'Anexo IV - Consdo Patrimônio'!$A$1:$N$95</definedName>
    <definedName name="_xlnm.Print_Area" localSheetId="0">'Parâmetros'!$A$7:$G$26</definedName>
    <definedName name="_xlnm.Print_Area" localSheetId="1">'Projeções'!$A$1:$AM$184</definedName>
    <definedName name="Z_16B3F100_CCE8_11D8_BD62_000C6E3CD3F1_.wvu.Cols" localSheetId="0" hidden="1">'Parâmetros'!$C:$C,'Parâmetros'!#REF!</definedName>
    <definedName name="Z_16B3F100_CCE8_11D8_BD62_000C6E3CD3F1_.wvu.Rows" localSheetId="4" hidden="1">'Dívida'!$25:$25,'Dívida'!#REF!</definedName>
    <definedName name="Z_16B3F100_CCE8_11D8_BD62_000C6E3CD3F1_.wvu.Rows" localSheetId="0" hidden="1">'Parâmetros'!$1:$6,'Parâmetros'!#REF!,'Parâmetros'!$12:$12</definedName>
  </definedNames>
  <calcPr fullCalcOnLoad="1"/>
</workbook>
</file>

<file path=xl/comments18.xml><?xml version="1.0" encoding="utf-8"?>
<comments xmlns="http://schemas.openxmlformats.org/spreadsheetml/2006/main">
  <authors>
    <author>dpu</author>
  </authors>
  <commentList>
    <comment ref="B61" authorId="0">
      <text>
        <r>
          <rPr>
            <b/>
            <sz val="9"/>
            <rFont val="Segoe UI"/>
            <family val="2"/>
          </rPr>
          <t>dpu:</t>
        </r>
        <r>
          <rPr>
            <sz val="9"/>
            <rFont val="Segoe UI"/>
            <family val="2"/>
          </rPr>
          <t xml:space="preserve">
Verificar de qual dotação sairá.</t>
        </r>
      </text>
    </comment>
  </commentList>
</comments>
</file>

<file path=xl/sharedStrings.xml><?xml version="1.0" encoding="utf-8"?>
<sst xmlns="http://schemas.openxmlformats.org/spreadsheetml/2006/main" count="1178" uniqueCount="857">
  <si>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</si>
  <si>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</si>
  <si>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</si>
  <si>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</si>
  <si>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</si>
  <si>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</si>
  <si>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</si>
  <si>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</si>
  <si>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</si>
  <si>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</si>
  <si>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</si>
  <si>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</si>
  <si>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</si>
  <si>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</si>
  <si>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</si>
  <si>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</si>
  <si>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</si>
  <si>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</si>
  <si>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</si>
  <si>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</si>
  <si>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</si>
  <si>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</si>
  <si>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</si>
  <si>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</si>
  <si>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</si>
  <si>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</si>
  <si>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</si>
  <si>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</si>
  <si>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</si>
  <si>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</si>
  <si>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</si>
  <si>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</si>
  <si>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</si>
  <si>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</si>
  <si>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</si>
  <si>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</si>
  <si>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</si>
  <si>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</si>
  <si>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</si>
  <si>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</si>
  <si>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</si>
  <si>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</si>
  <si>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</si>
  <si>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</si>
  <si>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</si>
  <si>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</si>
  <si>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</si>
  <si>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</si>
  <si>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</si>
  <si>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</si>
  <si>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</si>
  <si>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</si>
  <si>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</si>
  <si>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</si>
  <si>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</si>
  <si>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</si>
  <si>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</si>
  <si>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</si>
  <si>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</si>
  <si>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</si>
  <si>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</si>
  <si>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</si>
  <si>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</si>
  <si>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</si>
  <si>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</si>
  <si>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</si>
  <si>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</si>
  <si>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</si>
  <si>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Despesa Total</t>
  </si>
  <si>
    <t xml:space="preserve"> Dívida Pública Consolidada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</si>
  <si>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</si>
  <si>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</si>
  <si>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</si>
  <si>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</si>
  <si>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</si>
  <si>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</si>
  <si>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</si>
  <si>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</si>
  <si>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</si>
  <si>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</si>
  <si>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</si>
  <si>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</si>
  <si>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</si>
  <si>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</si>
  <si>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</si>
  <si>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</si>
  <si>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</si>
  <si>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</si>
  <si>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</si>
  <si>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</si>
  <si>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</si>
  <si>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</si>
  <si>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</si>
  <si>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</si>
  <si>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</si>
  <si>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</si>
  <si>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</si>
  <si>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</si>
  <si>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</si>
  <si>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</si>
  <si>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</si>
  <si>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</si>
  <si>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</si>
  <si>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</si>
  <si>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</si>
  <si>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</si>
  <si>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DEMONSTRATIVO DE RISCOS FISCAIS E PROVIDÊNCIAS</t>
  </si>
  <si>
    <t>PROVIDÊNCIAS</t>
  </si>
  <si>
    <t>Descrição</t>
  </si>
  <si>
    <t>I-Metas Previstas em</t>
  </si>
  <si>
    <t>II-Metas Realizadas em</t>
  </si>
  <si>
    <t>Valor (c) = (b-a)</t>
  </si>
  <si>
    <t>Variação %</t>
  </si>
  <si>
    <t>Variação%</t>
  </si>
  <si>
    <t>Despesas Primárias (II)</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</si>
  <si>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</si>
  <si>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</si>
  <si>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</si>
  <si>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</si>
  <si>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</si>
  <si>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</si>
  <si>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</si>
  <si>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</si>
  <si>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</si>
  <si>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</si>
  <si>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</si>
  <si>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</si>
  <si>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</si>
  <si>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</si>
  <si>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</si>
  <si>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</si>
  <si>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</si>
  <si>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</si>
  <si>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</si>
  <si>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</si>
  <si>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</si>
  <si>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</si>
  <si>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</si>
  <si>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</si>
  <si>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</si>
  <si>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</si>
  <si>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</si>
  <si>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</si>
  <si>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</si>
  <si>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</si>
  <si>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</si>
  <si>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</si>
  <si>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</si>
  <si>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</si>
  <si>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</si>
  <si>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</si>
  <si>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</si>
  <si>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</si>
  <si>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</si>
  <si>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</si>
  <si>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</si>
  <si>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</si>
  <si>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</si>
  <si>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</si>
  <si>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</si>
  <si>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</si>
  <si>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</si>
  <si>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</si>
  <si>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</si>
  <si>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</si>
  <si>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</si>
  <si>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</si>
  <si>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</si>
  <si>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</si>
  <si>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</si>
  <si>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</si>
  <si>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</si>
  <si>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</si>
  <si>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</si>
  <si>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TIPO (*)</t>
  </si>
  <si>
    <t>Ação</t>
  </si>
  <si>
    <t>Produto</t>
  </si>
  <si>
    <t xml:space="preserve">MUNICÍPIO DE: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</si>
  <si>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</si>
  <si>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</si>
  <si>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</si>
  <si>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</si>
  <si>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</si>
  <si>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</si>
  <si>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</si>
  <si>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</si>
  <si>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</si>
  <si>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</si>
  <si>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</si>
  <si>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</si>
  <si>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CONSERVAÇÃO DO PATRIMÔNIO</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</si>
  <si>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</si>
  <si>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</si>
  <si>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</si>
  <si>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</si>
  <si>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</si>
  <si>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</si>
  <si>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</si>
  <si>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</si>
  <si>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</si>
  <si>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</si>
  <si>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</si>
  <si>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</si>
  <si>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</si>
  <si>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</si>
  <si>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</si>
  <si>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1.2.1.0.06.0.0.00.00.00</t>
  </si>
  <si>
    <t>Contribuição para os Fundos de Assistência Médica</t>
  </si>
  <si>
    <t>1.2.1.0.99.0.0.00.00.00</t>
  </si>
  <si>
    <t>Outras Contribuições Sociais</t>
  </si>
  <si>
    <t>1.2.1.8.00.0.0.00.00.00</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</si>
  <si>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</si>
  <si>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</si>
  <si>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</si>
  <si>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</si>
  <si>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</si>
  <si>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</si>
  <si>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</si>
  <si>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</si>
  <si>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</si>
  <si>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</si>
  <si>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</si>
  <si>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</si>
  <si>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</si>
  <si>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</si>
  <si>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</si>
  <si>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</si>
  <si>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</si>
  <si>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</si>
  <si>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</si>
  <si>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</si>
  <si>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</si>
  <si>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</si>
  <si>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</si>
  <si>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</si>
  <si>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</si>
  <si>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</si>
  <si>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</si>
  <si>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</si>
  <si>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</si>
  <si>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</si>
  <si>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</si>
  <si>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</si>
  <si>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</si>
  <si>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</si>
  <si>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</si>
  <si>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</si>
  <si>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</si>
  <si>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</si>
  <si>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</si>
  <si>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</si>
  <si>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</si>
  <si>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</si>
  <si>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</si>
  <si>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</si>
  <si>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</si>
  <si>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</si>
  <si>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</si>
  <si>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</si>
  <si>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</si>
  <si>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</si>
  <si>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</si>
  <si>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</si>
  <si>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</si>
  <si>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</si>
  <si>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</si>
  <si>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</si>
  <si>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</si>
  <si>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</si>
  <si>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</si>
  <si>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</si>
  <si>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</si>
  <si>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</si>
  <si>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</si>
  <si>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</si>
  <si>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</si>
  <si>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</si>
  <si>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</si>
  <si>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</si>
  <si>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</si>
  <si>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</si>
  <si>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</si>
  <si>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</si>
  <si>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</si>
  <si>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</si>
  <si>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</si>
  <si>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</si>
  <si>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</si>
  <si>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</si>
  <si>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</si>
  <si>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</si>
  <si>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</si>
  <si>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</si>
  <si>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</si>
  <si>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</si>
  <si>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</si>
  <si>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</si>
  <si>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</si>
  <si>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</si>
  <si>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</si>
  <si>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</si>
  <si>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</si>
  <si>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</si>
  <si>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</si>
  <si>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</si>
  <si>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</si>
  <si>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</si>
  <si>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</si>
  <si>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</si>
  <si>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</si>
  <si>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</si>
  <si>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</si>
  <si>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</si>
  <si>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</si>
  <si>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</si>
  <si>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</si>
  <si>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</si>
  <si>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</si>
  <si>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</si>
  <si>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</si>
  <si>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</si>
  <si>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</si>
  <si>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</si>
  <si>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</si>
  <si>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</si>
  <si>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</si>
  <si>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</si>
  <si>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</si>
  <si>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</si>
  <si>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</si>
  <si>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</si>
  <si>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</si>
  <si>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</si>
  <si>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</si>
  <si>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</si>
  <si>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</si>
  <si>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</si>
  <si>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</si>
  <si>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</si>
  <si>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</si>
  <si>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</si>
  <si>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</si>
  <si>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</si>
  <si>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</si>
  <si>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</si>
  <si>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</si>
  <si>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</si>
  <si>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</si>
  <si>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</si>
  <si>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</si>
  <si>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</si>
  <si>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</si>
  <si>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</si>
  <si>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</si>
  <si>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</si>
  <si>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</si>
  <si>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</si>
  <si>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</si>
  <si>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</si>
  <si>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</si>
  <si>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</si>
  <si>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</si>
  <si>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</si>
  <si>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 RCL</t>
  </si>
  <si>
    <t>II - DEDUÇÕES</t>
  </si>
  <si>
    <t>Contribuições Previdenciárias do Regime Próprio</t>
  </si>
  <si>
    <t>Compensação Financeira entre Regimes</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</si>
  <si>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</si>
  <si>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</si>
  <si>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</si>
  <si>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</si>
  <si>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</si>
  <si>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</si>
  <si>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</si>
  <si>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</si>
  <si>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</si>
  <si>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</si>
  <si>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AMF - Demonstrativo 6 (LRF, art. 4º, § 2º, inciso IV, alínea "a")</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</si>
  <si>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</si>
  <si>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</si>
  <si>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</si>
  <si>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</si>
  <si>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</si>
  <si>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</si>
  <si>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</si>
  <si>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</si>
  <si>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</si>
  <si>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</si>
  <si>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Receitas Imobiliárias</t>
  </si>
  <si>
    <t>Receitas de Valores Mobiliários</t>
  </si>
  <si>
    <t>Outras Receitas Patrimoniais</t>
  </si>
  <si>
    <t>Compensação Previdenciária do RGPS para o RPPS</t>
  </si>
  <si>
    <t>Alienação de Bens, Direitos e Ativos</t>
  </si>
  <si>
    <t>DESPESAS PREVIDENCIÁRIAS - RPPS</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</si>
  <si>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</si>
  <si>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</si>
  <si>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</si>
  <si>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</si>
  <si>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</si>
  <si>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</si>
  <si>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</si>
  <si>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</si>
  <si>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</si>
  <si>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</si>
  <si>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</si>
  <si>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</si>
  <si>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</si>
  <si>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</si>
  <si>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</si>
  <si>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</si>
  <si>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</si>
  <si>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</si>
  <si>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</si>
  <si>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PROJEÇÃO ATUARIAL DO REGIME PRÓPRIO DE PREVIDÊNCIA DOS SERVIDORES</t>
  </si>
  <si>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</si>
  <si>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</si>
  <si>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</si>
  <si>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</si>
  <si>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</si>
  <si>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</si>
  <si>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</si>
  <si>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</si>
  <si>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</si>
  <si>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</si>
  <si>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</si>
  <si>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METAS ANUAIS - RPPS</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</si>
  <si>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</si>
  <si>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</si>
  <si>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</si>
  <si>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</si>
  <si>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</si>
  <si>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</si>
  <si>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</si>
  <si>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</si>
  <si>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</si>
  <si>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</si>
  <si>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</si>
  <si>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</si>
  <si>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</si>
  <si>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</si>
  <si>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</si>
  <si>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</si>
  <si>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</si>
  <si>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</si>
  <si>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</si>
  <si>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</si>
  <si>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</si>
  <si>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</si>
  <si>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</si>
  <si>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</si>
  <si>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</si>
  <si>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</si>
  <si>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</si>
  <si>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</si>
  <si>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</si>
  <si>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</si>
  <si>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</si>
  <si>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</si>
  <si>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</si>
  <si>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</si>
  <si>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</si>
  <si>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</si>
  <si>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</si>
  <si>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</si>
  <si>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</si>
  <si>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</si>
  <si>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</si>
  <si>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</si>
  <si>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</si>
  <si>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</si>
  <si>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</si>
  <si>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</si>
  <si>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</si>
  <si>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</si>
  <si>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</si>
  <si>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</si>
  <si>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</si>
  <si>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</si>
  <si>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</si>
  <si>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</si>
  <si>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Pagamento</t>
  </si>
  <si>
    <t>Pagto Estimado</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</si>
  <si>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</si>
  <si>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</si>
  <si>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</si>
  <si>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</si>
  <si>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</si>
  <si>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</si>
  <si>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</si>
  <si>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</si>
  <si>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</si>
  <si>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</si>
  <si>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</si>
  <si>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</si>
  <si>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</si>
  <si>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</si>
  <si>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</si>
  <si>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</si>
  <si>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</si>
  <si>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</si>
  <si>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JUROS E ENCARGOS PASSIVOS (Variações Patrimoniais Diminutivas)</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</si>
  <si>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</si>
  <si>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</si>
  <si>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</si>
  <si>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</si>
  <si>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</si>
  <si>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</si>
  <si>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</si>
  <si>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</si>
  <si>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</si>
  <si>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</si>
  <si>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</si>
  <si>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</si>
  <si>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</si>
  <si>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</si>
  <si>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</si>
  <si>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</si>
  <si>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</si>
  <si>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</si>
  <si>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</si>
  <si>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</si>
  <si>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</si>
  <si>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</si>
  <si>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</si>
  <si>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</si>
  <si>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</si>
  <si>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</si>
  <si>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</si>
  <si>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</si>
  <si>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</si>
  <si>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</si>
  <si>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</si>
  <si>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</si>
  <si>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</si>
  <si>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</si>
  <si>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</si>
  <si>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</si>
  <si>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</si>
  <si>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</si>
  <si>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</si>
  <si>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</si>
  <si>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</si>
  <si>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</si>
  <si>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</si>
  <si>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</si>
  <si>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</si>
  <si>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</si>
  <si>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</si>
  <si>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</si>
  <si>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</si>
  <si>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</si>
  <si>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</si>
  <si>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</si>
  <si>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</si>
  <si>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</si>
  <si>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</si>
  <si>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</si>
  <si>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</si>
  <si>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</si>
  <si>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</si>
  <si>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</si>
  <si>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</si>
  <si>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</si>
  <si>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r>
      <t>Memória de Cálculo das Estimativas de</t>
    </r>
    <r>
      <rPr>
        <b/>
        <sz val="12"/>
        <color indexed="10"/>
        <rFont val="Arial"/>
        <family val="2"/>
      </rPr>
      <t xml:space="preserve"> Pagamento das Despesas</t>
    </r>
    <r>
      <rPr>
        <b/>
        <sz val="12"/>
        <rFont val="Arial"/>
        <family val="2"/>
      </rPr>
      <t xml:space="preserve"> - Inclusive Restos a Pagar</t>
    </r>
  </si>
  <si>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</si>
  <si>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</si>
  <si>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</si>
  <si>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</si>
  <si>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</si>
  <si>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t>RESERVA DE CONTINGÊNCIA - PREVISÃO (VII)</t>
  </si>
  <si>
    <t>DESPESAS PRIMÁRIAS ANTES DA RESERVA DE CONTINGÊNCIA (VI = IV + V)</t>
  </si>
  <si>
    <t>DESPESAS PRIMÁRIAS APÓS A RESERVA DE CONTINGÊNCIA (VIII = VI+ VII)</t>
  </si>
  <si>
    <t>META DE RESULTADO PRIMÁRIO A SER CONSIDERADA (IX = III - VIII)</t>
  </si>
  <si>
    <t>1.7.1.8.99.0.0.00.00.00</t>
  </si>
  <si>
    <t>Outras Transferências da União</t>
  </si>
  <si>
    <r>
      <t xml:space="preserve">Remuneração dos Recursos do Regime Próprio de Previdência Social - RPPS  </t>
    </r>
    <r>
      <rPr>
        <sz val="10"/>
        <color indexed="10"/>
        <rFont val="Arial"/>
        <family val="2"/>
      </rPr>
      <t>(Valor Líquido Arrecadado)</t>
    </r>
  </si>
  <si>
    <r>
      <t xml:space="preserve">Demais Dedu.da Receita Corrente - </t>
    </r>
    <r>
      <rPr>
        <b/>
        <sz val="10"/>
        <color indexed="10"/>
        <rFont val="Arial"/>
        <family val="2"/>
      </rPr>
      <t>Exceto Rend Negativo do RPPS</t>
    </r>
    <r>
      <rPr>
        <sz val="10"/>
        <rFont val="Arial"/>
        <family val="2"/>
      </rPr>
      <t xml:space="preserve"> </t>
    </r>
    <r>
      <rPr>
        <sz val="10"/>
        <color indexed="10"/>
        <rFont val="Arial"/>
        <family val="2"/>
      </rPr>
      <t xml:space="preserve"> (digitar com sinal negativo)</t>
    </r>
  </si>
  <si>
    <r>
      <rPr>
        <b/>
        <sz val="10"/>
        <color indexed="10"/>
        <rFont val="Arial"/>
        <family val="2"/>
      </rPr>
      <t>Tabela 03 -</t>
    </r>
    <r>
      <rPr>
        <b/>
        <sz val="10"/>
        <color indexed="8"/>
        <rFont val="Arial"/>
        <family val="2"/>
      </rPr>
      <t xml:space="preserve"> Estimativas para a Receita Corrente Líquida</t>
    </r>
  </si>
  <si>
    <t>(a / RCL)</t>
  </si>
  <si>
    <t>(b / RCL)</t>
  </si>
  <si>
    <t>(c / RCL)</t>
  </si>
  <si>
    <t xml:space="preserve"> Receita Total</t>
  </si>
  <si>
    <t xml:space="preserve"> Receitas Primárias (I)</t>
  </si>
  <si>
    <t xml:space="preserve"> Receitas Primárias Correntes</t>
  </si>
  <si>
    <t xml:space="preserve"> Impostos, Taxas e Contribuições de Melhoria</t>
  </si>
  <si>
    <t xml:space="preserve"> Contribuições</t>
  </si>
  <si>
    <t xml:space="preserve"> Transferências Correntes</t>
  </si>
  <si>
    <t xml:space="preserve"> Demais Receitas Primárias Correntes</t>
  </si>
  <si>
    <t xml:space="preserve"> Receitas Primárias de Capital</t>
  </si>
  <si>
    <t xml:space="preserve"> Pessoal e Encargos Sociais</t>
  </si>
  <si>
    <t xml:space="preserve"> Despesas Primárias de Capital</t>
  </si>
  <si>
    <t xml:space="preserve"> Pagamento de Restos a Pagar de Despesas Primárias</t>
  </si>
  <si>
    <t xml:space="preserve"> Resultado Primário (III) = (I – II)</t>
  </si>
  <si>
    <t xml:space="preserve"> Juros, Encargos e Variações Monetárias Ativos (IV)</t>
  </si>
  <si>
    <t xml:space="preserve"> Juros, Encargos e Variações Monetárias Passivos (V)</t>
  </si>
  <si>
    <t xml:space="preserve"> Resultado Nominal - (VI) = (III + (IV - V))</t>
  </si>
  <si>
    <t xml:space="preserve"> Dívida Consolidada Líquida</t>
  </si>
  <si>
    <t>Receitas Primárias advindas de PPP (VII)</t>
  </si>
  <si>
    <t>Despesas Primárias geradas por PPP (VIII)</t>
  </si>
  <si>
    <t>Impacto do saldo das PPPs (IX) = (VII - VIII)</t>
  </si>
  <si>
    <t xml:space="preserve"> Outras Despesas Correntes (Primárias)</t>
  </si>
  <si>
    <t>RECEITAS E DESPESAS PREVIDENCIÁRIAS DO REGIME PRÓPRIO DE PREVIDÊNCIA DOS SERVIDORES</t>
  </si>
  <si>
    <t>RECEITAS DE CAPITAL (III)</t>
  </si>
  <si>
    <t>TOTAL DAS RECEITAS PREVIDENCIÁRIAS RPPS - (IV) = (I + III - II)</t>
  </si>
  <si>
    <t>TOTAL DAS DESPESAS PREVIDENCIÁRIAS RPPS (V)</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</si>
  <si>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</si>
  <si>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</si>
  <si>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</si>
  <si>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</si>
  <si>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</si>
  <si>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</si>
  <si>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</si>
  <si>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</si>
  <si>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r>
      <t xml:space="preserve">Pessoal   - </t>
    </r>
    <r>
      <rPr>
        <b/>
        <sz val="12"/>
        <color indexed="10"/>
        <rFont val="Arial"/>
        <family val="2"/>
      </rPr>
      <t>Restos a Pagar Pagos</t>
    </r>
  </si>
  <si>
    <r>
      <t xml:space="preserve">Juros e encargos da Dívida - </t>
    </r>
    <r>
      <rPr>
        <b/>
        <sz val="12"/>
        <color indexed="10"/>
        <rFont val="Arial"/>
        <family val="2"/>
      </rPr>
      <t xml:space="preserve">Restos a Pagar Pagos </t>
    </r>
  </si>
  <si>
    <r>
      <t>Outras Despesas Correntes  -</t>
    </r>
    <r>
      <rPr>
        <b/>
        <sz val="12"/>
        <color indexed="10"/>
        <rFont val="Arial"/>
        <family val="2"/>
      </rPr>
      <t xml:space="preserve"> Restos a Pagar Pagos</t>
    </r>
  </si>
  <si>
    <t xml:space="preserve">Investimentos  RPPS </t>
  </si>
  <si>
    <r>
      <t xml:space="preserve">Investimentos  - </t>
    </r>
    <r>
      <rPr>
        <b/>
        <sz val="12"/>
        <color indexed="10"/>
        <rFont val="Arial"/>
        <family val="2"/>
      </rPr>
      <t>INTRAORÇAMENTÁRIAS</t>
    </r>
  </si>
  <si>
    <r>
      <t xml:space="preserve">Investimentos  - </t>
    </r>
    <r>
      <rPr>
        <b/>
        <sz val="12"/>
        <color indexed="10"/>
        <rFont val="Arial"/>
        <family val="2"/>
      </rPr>
      <t>Restos a Pagar Pagos</t>
    </r>
  </si>
  <si>
    <r>
      <t xml:space="preserve">Outras Inversões Financeiras - </t>
    </r>
    <r>
      <rPr>
        <b/>
        <sz val="12"/>
        <color indexed="10"/>
        <rFont val="Arial"/>
        <family val="2"/>
      </rPr>
      <t>Restos a a  Pagar Pagos</t>
    </r>
  </si>
  <si>
    <r>
      <t xml:space="preserve">Amortização da Dívida  - </t>
    </r>
    <r>
      <rPr>
        <b/>
        <sz val="12"/>
        <color indexed="10"/>
        <rFont val="Arial"/>
        <family val="2"/>
      </rPr>
      <t>Restos a Pagar Pagos</t>
    </r>
  </si>
  <si>
    <t xml:space="preserve"> Despesas Primárias Correntes</t>
  </si>
  <si>
    <t xml:space="preserve"> Despesas Primárias (II + IIa)</t>
  </si>
  <si>
    <t>Inflação para 2024:</t>
  </si>
  <si>
    <t>1.7.1.8.12.0.0.00.00.00</t>
  </si>
  <si>
    <t>1.2.1.8.01.0.0.00.00.00</t>
  </si>
  <si>
    <r>
      <t>Contribuições Sociais específicas de Estados, DF, Municípios (</t>
    </r>
    <r>
      <rPr>
        <sz val="10"/>
        <color indexed="10"/>
        <rFont val="Arial"/>
        <family val="2"/>
      </rPr>
      <t>Exceto para o RPPS</t>
    </r>
    <r>
      <rPr>
        <sz val="10"/>
        <rFont val="Arial"/>
        <family val="2"/>
      </rPr>
      <t>)</t>
    </r>
  </si>
  <si>
    <t>SOMA  DOS JUROS E ENCARGOS ATIVOS  (X)</t>
  </si>
  <si>
    <t>SOMA  DOS JUROS E ENCARGOS PASSIVOS (XI)</t>
  </si>
  <si>
    <t>RESULTADO NOMINAL  -  ACIMA DA LINHA (XII = IX + X - XI)</t>
  </si>
  <si>
    <t>METAS ANUAIS  -VALORES ATUALIZADOS PELA LOA</t>
  </si>
  <si>
    <t>LEI DE DIRETRIZES ORÇAMENTÁRIAS  PARA 2023</t>
  </si>
  <si>
    <t>Apuração Conforme a Instrução Normativa nº 18/2021, do TCE/RS</t>
  </si>
  <si>
    <t>Outras deduções</t>
  </si>
  <si>
    <t>Lei de Diretrizes Orçamentárias para o Exercício de 2023</t>
  </si>
  <si>
    <r>
      <rPr>
        <b/>
        <sz val="11"/>
        <color indexed="10"/>
        <rFont val="Arial"/>
        <family val="2"/>
      </rPr>
      <t>Tabela 04 -</t>
    </r>
    <r>
      <rPr>
        <b/>
        <sz val="11"/>
        <color indexed="8"/>
        <rFont val="Arial"/>
        <family val="2"/>
      </rPr>
      <t xml:space="preserve"> Estimativa de Limites de Gastos com Pessoal do Poder Executivo e Legislativo para o período de 2023 a 2025</t>
    </r>
  </si>
  <si>
    <t>LEI DE DIRETRIZES ORÇAMENTÁRIAS PARA 2023</t>
  </si>
  <si>
    <t>Previsão de comprometimento da RCL com a Dívida Consolidada Líquida</t>
  </si>
  <si>
    <t>Preenchimento Opcional Cfe. Item 02.01.03.01 da 12ª Edição do MDF</t>
  </si>
  <si>
    <t>EXERCÍCIO DE 2023</t>
  </si>
  <si>
    <t>Preenchimento Opcional Cfe 12ª Edição do MDF</t>
  </si>
  <si>
    <t>2021 (a)</t>
  </si>
  <si>
    <t>2021 (b)</t>
  </si>
  <si>
    <t>Preenchimento opcional cfe. Item 02.01.03.01 da 12ª edição do MDF</t>
  </si>
  <si>
    <t>Valor da Receita Corrente Líquida de 2021</t>
  </si>
  <si>
    <t xml:space="preserve"> EXERCÍCIO DE 2023</t>
  </si>
  <si>
    <t>Ajustes de Exerc.Anteiores</t>
  </si>
  <si>
    <t>SALDOS DE EXERCÍCIOS ANTERIORES A 2019</t>
  </si>
  <si>
    <t>Inflação para 2025:</t>
  </si>
  <si>
    <t>Valor Previsto 2023</t>
  </si>
  <si>
    <t>LEI DE DIRETRIZES ORÇAMENTÁRIAS – 2023</t>
  </si>
  <si>
    <t>LEI DE DIRETRIZES ORÇAMENTÁRIAS - 2023</t>
  </si>
  <si>
    <t xml:space="preserve">1.6.4.1.01.00 +1.6.4.1.03.00 </t>
  </si>
  <si>
    <t>9.0.0.0.0.00.0.0</t>
  </si>
  <si>
    <t>9.1.1.0.0.00.0.0</t>
  </si>
  <si>
    <t>9.1.7.0.0.00.0.0</t>
  </si>
  <si>
    <t>9.1.0.0.0.00.0.0</t>
  </si>
  <si>
    <t>9.2.0.0.0.00.0.0</t>
  </si>
  <si>
    <t>Código até 2022</t>
  </si>
  <si>
    <t>Código a partir de 2023</t>
  </si>
  <si>
    <t>Código</t>
  </si>
  <si>
    <t>III - RECEITA CORRENTE LÍQUIDA PREVISTA (I-II)</t>
  </si>
  <si>
    <r>
      <rPr>
        <b/>
        <sz val="10"/>
        <color indexed="8"/>
        <rFont val="Arial"/>
        <family val="2"/>
      </rPr>
      <t>IV - Recursos (Federais) de Emendas Parlamentares Individuais</t>
    </r>
    <r>
      <rPr>
        <sz val="10"/>
        <color indexed="8"/>
        <rFont val="Arial"/>
        <family val="2"/>
      </rPr>
      <t xml:space="preserve"> (código de natureza  1.7.1.0.00.00.00 com complemento de vínculo 3110)</t>
    </r>
  </si>
  <si>
    <t>V - Receita Corrente Líquida para Fins de Endividamento (III - IV)</t>
  </si>
  <si>
    <r>
      <rPr>
        <b/>
        <sz val="10"/>
        <color indexed="8"/>
        <rFont val="Arial"/>
        <family val="2"/>
      </rPr>
      <t xml:space="preserve">VI - Recursos (Federais) de Emendas Parlamentares de Bancada </t>
    </r>
    <r>
      <rPr>
        <sz val="10"/>
        <color indexed="8"/>
        <rFont val="Arial"/>
        <family val="2"/>
      </rPr>
      <t>(código de natureza  1.7.1.0.00.00.00 com complemento de vínculo 3120)</t>
    </r>
  </si>
  <si>
    <t>VII - Receita Corrente Líquida p/Despesas com Pessoal (V - VI)</t>
  </si>
  <si>
    <t>Município de : IVOTI</t>
  </si>
  <si>
    <t>* Restos a pagar de 2022 considerados pagamentos até a data de 17/08/2022</t>
  </si>
  <si>
    <t>*Reestimativa 2022 baseada nos valores pagos até o final da competência de 07/2022 se maior que a estimativa inicial</t>
  </si>
  <si>
    <t>*Reestimativa 2022 baseada nos valores arrecadados até o final da competência de 07/2022 se muito divergente que a estimativa incial</t>
  </si>
  <si>
    <t>EXERCÍCIOO DE 2023</t>
  </si>
  <si>
    <t>Fonte: Anexo 14 Lei 4.320/64 gerado Sistema Contábil Município de Ivoti</t>
  </si>
  <si>
    <t>Fonte: Anexo 11 Lei 4.320/64 gerado Sistema Contábil Município de Ivoti</t>
  </si>
  <si>
    <t>RESULTADO PREVIDENCIÁRIO (VI) = (IV – V)</t>
  </si>
  <si>
    <t>Aportes Periódicos para Amortização de Déficit Atuarial do RPPS (II)</t>
  </si>
  <si>
    <t> FONTE: Sistema Contábil Município de Ivoti, Data da emissão 11/02/2022, 15:01:58</t>
  </si>
  <si>
    <t>*Posição Dívida Consolidada 2022 até a data de 29/08/2022</t>
  </si>
  <si>
    <t xml:space="preserve">   (-) Depósitos Restituíveis e Valores Vinculados</t>
  </si>
  <si>
    <t>Fonte: Anexo 2 RGF gerado Sistema Contábil Município de Ivoti</t>
  </si>
  <si>
    <t>Fonte: Planilha Projeções</t>
  </si>
  <si>
    <t>NÃO HÁ</t>
  </si>
  <si>
    <t>*Demandas Judiciais</t>
  </si>
  <si>
    <t>*Dívidas em Processo de Reconhecimento</t>
  </si>
  <si>
    <t>* Não houve manifestação da procuradoria em resposta ao Ofício Departamento de Contabilidade n° 03/2022</t>
  </si>
  <si>
    <t>Termo de Parceria com a RS GARANTI para o Plano de Recuperação Econômica PÓS COVID-CREDIVOTI</t>
  </si>
  <si>
    <t>Limitação de empenhos e de movimentação financeira</t>
  </si>
  <si>
    <t>Reserva de Contingência Exceto RPPS (II-a)</t>
  </si>
  <si>
    <t>Fonte: Projeções e Tabelas 05 e 06</t>
  </si>
  <si>
    <t>RECURSOS PRIORIZADOS PARA 2022</t>
  </si>
  <si>
    <t>ATÉ EXERC ANTERIOR  2020</t>
  </si>
  <si>
    <t>NO EXERCÍCIO DE 2021</t>
  </si>
  <si>
    <t>A EXECUTAR EM 2022</t>
  </si>
  <si>
    <t>RECURSOS</t>
  </si>
  <si>
    <t>Educação</t>
  </si>
  <si>
    <t>Banheiros 25 de Julho</t>
  </si>
  <si>
    <t>Ampliação EMEF Jardim Panorâmico</t>
  </si>
  <si>
    <t>Cobertura e piso pátio 19 de Outubro</t>
  </si>
  <si>
    <t>Quadra Bom Pastor</t>
  </si>
  <si>
    <t>Execução PPCI EMEIs</t>
  </si>
  <si>
    <t>Execução PPCI EMEFs</t>
  </si>
  <si>
    <t>Cobertura quadra Olavo</t>
  </si>
  <si>
    <t>Piso Nicolau</t>
  </si>
  <si>
    <t>Fechamento quadra Concórdia</t>
  </si>
  <si>
    <t>Piso quadra Nelda</t>
  </si>
  <si>
    <t>Salas de recurso EMEF Olavo, Aroni, Nelda</t>
  </si>
  <si>
    <t>Museu Colônia Japonesa</t>
  </si>
  <si>
    <t>Piso quadra areia EMEF Concórdia</t>
  </si>
  <si>
    <t>Restauro Salão Holler</t>
  </si>
  <si>
    <t>Execução PPCI Salão Holler</t>
  </si>
  <si>
    <t>Reforma SEMEC</t>
  </si>
  <si>
    <t>Execução PPCI SEMEC</t>
  </si>
  <si>
    <t>Melhorias pátio e cercamento EMEF 19</t>
  </si>
  <si>
    <t>Telhado PLUG</t>
  </si>
  <si>
    <t>Desenvolvimento</t>
  </si>
  <si>
    <t>Mobiliário Núcleo/pórtico</t>
  </si>
  <si>
    <t>Passarela Núcleo</t>
  </si>
  <si>
    <t>Revitalização Belvedere</t>
  </si>
  <si>
    <t>Loteamento Industrial – pavimentação Ruas Oscar Nicolau Muller e Albino Henrique Fritsch</t>
  </si>
  <si>
    <t>Loteamento Industrial – pavimentação Armindo Buhler</t>
  </si>
  <si>
    <t>Loteamento Industrial 48 Alta</t>
  </si>
  <si>
    <t>Pórtico Colônia Japonesa</t>
  </si>
  <si>
    <t>Meio Ambiente</t>
  </si>
  <si>
    <t>Praça Ambiental São Leopoldo</t>
  </si>
  <si>
    <t>Reforma CEAMI</t>
  </si>
  <si>
    <t>Obras</t>
  </si>
  <si>
    <t>Pavimentação Ruas</t>
  </si>
  <si>
    <t>Reforço muro Praça Concórdia</t>
  </si>
  <si>
    <t>Pavimentação Ruas Morada do Sol</t>
  </si>
  <si>
    <t>Pavimentação 48 Alta</t>
  </si>
  <si>
    <t>Pavimentação Ruas Jardim Buhler</t>
  </si>
  <si>
    <t>Pavimentação Rua 48 Baixa</t>
  </si>
  <si>
    <t>Pavimentação Ruas Jardim Buhler - 2</t>
  </si>
  <si>
    <t>Pavimentações asfálticas</t>
  </si>
  <si>
    <t>Pavimentação Rua do Grotão</t>
  </si>
  <si>
    <t>Alargamento Av. Popular</t>
  </si>
  <si>
    <t>Ciclovia Vale das Palmeiras</t>
  </si>
  <si>
    <t>Execução de PPCI Secretaria de Obras, PLUG, Ginásio Municipal</t>
  </si>
  <si>
    <t>Saúde</t>
  </si>
  <si>
    <t>Construção Centro de Especialidades</t>
  </si>
  <si>
    <t>CRAS</t>
  </si>
  <si>
    <t>Ampliação UBS Jardim Panorâmico</t>
  </si>
  <si>
    <t xml:space="preserve">Estacionamento UBS Jardim Panorâmico </t>
  </si>
  <si>
    <t>Estacionamento Posto Central</t>
  </si>
  <si>
    <t>Projeto Centro de Especialidades</t>
  </si>
  <si>
    <t>Execução PPCI Cidade Nova</t>
  </si>
  <si>
    <t>Execução PPCI Posto Central e entornos</t>
  </si>
  <si>
    <t>Gavetas Cemitério Municipal</t>
  </si>
  <si>
    <t>Administração</t>
  </si>
  <si>
    <t>Reforma Prédio Administração</t>
  </si>
  <si>
    <t>Execução de PPCI Administração</t>
  </si>
  <si>
    <t>Placas solares</t>
  </si>
  <si>
    <t>IPTU</t>
  </si>
  <si>
    <t>Isenção</t>
  </si>
  <si>
    <t>Prédio histórico-lei municipal 1410</t>
  </si>
  <si>
    <t>Idoso com renda baixa-lei municipal 2915</t>
  </si>
  <si>
    <t>Família com deficiente físico-lei municipal 1501</t>
  </si>
  <si>
    <t>Empresas com incentivo – lei 2987 STR</t>
  </si>
  <si>
    <t>Empresas com incentivo no loteamento industrial – leis 3044,3045,3047,3065, 3067, 3364, 3459 e 3496</t>
  </si>
  <si>
    <t xml:space="preserve">Empresa com incentivo LEI 2987 </t>
  </si>
  <si>
    <t>Taxas diversas</t>
  </si>
  <si>
    <t>Programa de recuperação econômica Lei Municipal 3314: Leis vinculadas, 3334, 3335, 3384, 3390, 3392, 3412 e 3474</t>
  </si>
  <si>
    <t>Faixa de servidão de rede de alta tensão</t>
  </si>
  <si>
    <t>Não Incidência</t>
  </si>
  <si>
    <t>Área de exploração estrativa vegetal, agrícola, pecuária ou agroindustrial</t>
  </si>
  <si>
    <t xml:space="preserve">Fonte:  Sistema &lt;Multi24-tributário&gt;, Unidade Responsável &lt;Departamento de Arrecadação-Sabrina Rohrig&gt;, Data &lt;16/09/2022&gt; </t>
  </si>
  <si>
    <t>Obs:  1 -   Os valores da renúncia para 2023 foram previstos de acordo com informações da Administração tributária</t>
  </si>
  <si>
    <t>2 - Os valores da renúncia projetados para 2024 e 2025, foram claculados a partir dos valores de 2022, apli</t>
  </si>
  <si>
    <t>SABRINA ROHRIG</t>
  </si>
  <si>
    <t>Assessora da Secretaria da Fazenda</t>
  </si>
  <si>
    <t>PPA</t>
  </si>
  <si>
    <t>A</t>
  </si>
  <si>
    <t xml:space="preserve">MANUTENÇÃO DAS ATIVIDADES LEGISLATIVAS </t>
  </si>
  <si>
    <t>MANUTENÇÃO DAS ATIVIDADES DO GABINETE</t>
  </si>
  <si>
    <t xml:space="preserve">CORPO DE BOMBEIROS E DEFESA CIVIL </t>
  </si>
  <si>
    <t>REPASSE A ENTIDADES - CONVÊNIO CONSEPRO E OUTRAS ENTIDADES</t>
  </si>
  <si>
    <t>P</t>
  </si>
  <si>
    <t>VÍDEO MONITORAMENTO</t>
  </si>
  <si>
    <t xml:space="preserve">MANUTENÇÃO DAS ATIVIDADES DA SECRETARIA DA ADMINISTRAÇÃO </t>
  </si>
  <si>
    <t>CONSTRUÇÃO REDE FIBRA ÓPTICA</t>
  </si>
  <si>
    <t>REALIZAÇÃO DE CONCURSOS</t>
  </si>
  <si>
    <t>IMPLANTAÇÃO DE PPCIs</t>
  </si>
  <si>
    <t>CONSTRUÇÃO E REFORMA DOS ESPAÇOS ADMINISTRATIVOS</t>
  </si>
  <si>
    <t>IMPLANTAÇÃO DE ENERGIA FOTOVOLTAICA</t>
  </si>
  <si>
    <t>GESTÃO DE INFRAESTRUTURA DE TI</t>
  </si>
  <si>
    <t>DESENVOLVIMENTO PROFISSIONAL SERVIDOR</t>
  </si>
  <si>
    <t>MANUTENÇÃO DAS ATIVIDADES DA SECRETARIA DE DESENVOLVIMENTO</t>
  </si>
  <si>
    <t xml:space="preserve"> APOIO AO DESENVOLVIMENTO RURAL </t>
  </si>
  <si>
    <t>INCENTIVO A INDÚSTRIA</t>
  </si>
  <si>
    <t xml:space="preserve">CALENDÁRIO DE EVENTOS </t>
  </si>
  <si>
    <t>AQUISIÇÃO DE ÁREA PARA INSTALAÇÃO DE INDÚSTRIAS</t>
  </si>
  <si>
    <t xml:space="preserve">MANUTENÇÃO DAS ATIVIDADES DA SECRETARIA EDUCAÇÃO </t>
  </si>
  <si>
    <t>ATENDIMENTO ESPECIALIZADO NAI</t>
  </si>
  <si>
    <t>EDUCAÇÃO FISCAL ENSINO FUNDAMENTAL</t>
  </si>
  <si>
    <t xml:space="preserve">CONVÊNIO COM ENTIDADES DE ATENDIMENTOS ESPECIALIZADOS </t>
  </si>
  <si>
    <t>EDUCAÇÃO INFANTIL CRECHE-MDE</t>
  </si>
  <si>
    <t>EDUCAÇÃO INFANTIL CRECHE-FUNDEB</t>
  </si>
  <si>
    <t>EDUCAÇÃO INFANTIL PRE ESCOLA-MDE</t>
  </si>
  <si>
    <t>EDUCAÇÃO INFANTIL PRE ESCOLA-FUNDEB</t>
  </si>
  <si>
    <t>EDUCAÇÃO INFANTIL-SALÁRIO EDUCAÇÃO</t>
  </si>
  <si>
    <t>ENSINO FUNDAMENTAL-MDE</t>
  </si>
  <si>
    <t>ENSINO FUNDAMENTAL-FUNDEB</t>
  </si>
  <si>
    <t>ENSINO FUNDAMENTAL-SALÁRIO EDUCAÇÃO</t>
  </si>
  <si>
    <t xml:space="preserve">SERVIÇOS DE TRANSPORTE ESCOLAR </t>
  </si>
  <si>
    <t>ALIMENTAÇÃO ESCOLAR ENSINO FUNDAMENTAL</t>
  </si>
  <si>
    <t>MANUTENÇÃO DO DEPARTAMENTO DE CULTURA</t>
  </si>
  <si>
    <t>MANUTENÇÃO DO DEPARTAMENTO DE DESPORTO</t>
  </si>
  <si>
    <t>ALIMENTAÇÃO ESCOLAR EDUCAÇÃO INFANTIL</t>
  </si>
  <si>
    <t>PROGRAMA LAZER UNINDO GERAÇÕES + PROJETOS ESPECIAIS</t>
  </si>
  <si>
    <t>PATRIMÔNIO HISTÓRICO E CULTURAL</t>
  </si>
  <si>
    <t>IMPLANTAÇÃO DE PCCIS SEMEC</t>
  </si>
  <si>
    <t>MANUTENÇÃO DE PRAÇAS</t>
  </si>
  <si>
    <t xml:space="preserve">MANUTENÇÃO DAS ATIVIDADES DA SECRETARIA DE OBRAS </t>
  </si>
  <si>
    <t>PAVIMENTAÇÃO DE RUAS</t>
  </si>
  <si>
    <t xml:space="preserve">MELHORIAS E MANUTENÇÃO DA ILUMINAÇÃO PÚBLICA </t>
  </si>
  <si>
    <t xml:space="preserve">CONSERVAÇÃO E ABERTURA DE VIAS URBANAS E RURAIS </t>
  </si>
  <si>
    <t xml:space="preserve">CONSTRUÇÃO E REVITALIZAÇÃO DE PRAÇAS E LOGRADOUROS PÚBLICOS </t>
  </si>
  <si>
    <t>MELHORIA NO SERVIÇO DE LIMPEZA PÚBLICA E COLETA DE LIXO</t>
  </si>
  <si>
    <t xml:space="preserve">DRENAGEM URBANA </t>
  </si>
  <si>
    <t>PRAÇA AMBIENTAL</t>
  </si>
  <si>
    <t xml:space="preserve">PROGRAMA CONSCIÊNCIA ECOLÓGICA </t>
  </si>
  <si>
    <t xml:space="preserve">GERENCIAMENTO DE RESÍDUOS </t>
  </si>
  <si>
    <t xml:space="preserve">MANUTENÇÃO DO CEAMI </t>
  </si>
  <si>
    <t>PROJETOS AMBIENTAIS</t>
  </si>
  <si>
    <t>MANUTENÇÃO DA PRAÇA SÃO LEOPOLDO</t>
  </si>
  <si>
    <t>PROTEÇÃO E SAÚDE ANIMAL</t>
  </si>
  <si>
    <t>AQUISIÇÃO ÁREA INTERESSE</t>
  </si>
  <si>
    <t xml:space="preserve">MANUTENÇÃO DAS ATIVIDADES DA SECRETARIA DA FAZENDA </t>
  </si>
  <si>
    <t>MANUTENÇÃO DA ADMINISTRAÇÃO TRIBUTÁRIA</t>
  </si>
  <si>
    <t>PROGRAMA DE FISCALIZAÇÃO E AUMENTO DE ARRECADAÇÃO</t>
  </si>
  <si>
    <t>OE</t>
  </si>
  <si>
    <t>AMORTZAÇÃO DO PASSIVO ATUARIAL - RPPS</t>
  </si>
  <si>
    <t xml:space="preserve">MANUTENÇÃO DAS ATIVIDADES DA SECRETARIA DA SAÚDE </t>
  </si>
  <si>
    <t>VIGILÂNCIA EM SAÚDE (EPIDEMIOLOGICA E SANITÁRIA)</t>
  </si>
  <si>
    <t xml:space="preserve">CONTRATAÇÃO DE SERVIÇOS ESPECIALIZADOS EM SAÚDE </t>
  </si>
  <si>
    <t xml:space="preserve">CONSTRUÇÃO, AMPLIAÇÃO E/OU REFORMA DE UNIDADES DE SAÚDE </t>
  </si>
  <si>
    <t xml:space="preserve">CONVÊNIOS COM HOSPITAIS </t>
  </si>
  <si>
    <t>DISTRIBUIÇÃO GRATUITA MEDICAMENTOS E INSUMOS</t>
  </si>
  <si>
    <t>FUNDO DA CRIANÇA E DO ADOLESCENTE</t>
  </si>
  <si>
    <t>ATENÇÃO A FAMÍLIA</t>
  </si>
  <si>
    <t>CONSELHO TUTELAR</t>
  </si>
  <si>
    <t xml:space="preserve">ASSISTÊNCIA SOCIAL - CRAS - CAPS </t>
  </si>
  <si>
    <t xml:space="preserve">CONVÊNIO DE APOIO A PESSOA PORTADORA DE NECESSIDADES ESPECIAIS </t>
  </si>
  <si>
    <t>CENTRO DE REFERÊNCIA DA MULHER</t>
  </si>
  <si>
    <t>ENFRENTAMENTO COVID</t>
  </si>
  <si>
    <t>REGULARIZAÇÃO FUNDIÁRIA</t>
  </si>
  <si>
    <t>CENTRO DE ESPECIALIDADES</t>
  </si>
  <si>
    <t>CENTRO DO IDOSO</t>
  </si>
  <si>
    <t>APOIO ADMINISTRATIVO DO RPPS</t>
  </si>
  <si>
    <t>MANUTENÇÃO DAS ATIVIDIDADES DE APOIO AUTARQUIA</t>
  </si>
  <si>
    <t>OPERAÇÃO E MANUTENÇÃO DO SISTEMA DE AGUA POTÁVEL</t>
  </si>
  <si>
    <t>OPERAÇÃO E MANUTENÇÃO DO SISTEMA DE ESGOTAMENTO SANITÁRIO</t>
  </si>
  <si>
    <t>AQUISIÇÃO ÁREA PARA TRATAMENTO DE ESGOTO</t>
  </si>
  <si>
    <r>
      <t>TOTAL DOS PROGRAMAS   =======================================</t>
    </r>
    <r>
      <rPr>
        <b/>
        <sz val="9"/>
        <rFont val="Wingdings"/>
        <family val="0"/>
      </rPr>
      <t>è</t>
    </r>
  </si>
  <si>
    <t>(*)  Tipo:  P – Projeto       A - Atividade        OE - Operação Especial</t>
  </si>
  <si>
    <t>NÚCLEO DE CASAS ENXAIMEL</t>
  </si>
  <si>
    <t>MANUTENÇÃO DAS ATIVIDADES DA SECRETARIA DE MEIO AMBIENTE</t>
  </si>
  <si>
    <t>MANUTENÇÃO DE ATIVIDADES  RELACIONADAS AO TURISMO E À CULTURA</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</si>
</sst>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 numFmtId="215" formatCode="0.00;[Red]0.00"/>
    <numFmt numFmtId="216" formatCode="_-&quot;R$&quot;\ * #,##0.0_-;\-&quot;R$&quot;\ * #,##0.0_-;_-&quot;R$&quot;\ * &quot;-&quot;_-;_-@_-"/>
    <numFmt numFmtId="217" formatCode="_-&quot;R$&quot;\ * #,##0.00_-;\-&quot;R$&quot;\ * #,##0.00_-;_-&quot;R$&quot;\ * &quot;-&quot;_-;_-@_-"/>
    <numFmt numFmtId="218" formatCode="d/m/yyyy"/>
    <numFmt numFmtId="219" formatCode="#,##0.00\ ;#,##0.00\ ;\-#\ ;@\ "/>
  </numFmts>
  <fonts count="95">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u val="single"/>
      <sz val="12"/>
      <name val="Arial"/>
      <family val="2"/>
    </font>
    <font>
      <sz val="10"/>
      <name val="Calibri"/>
      <family val="2"/>
    </font>
    <font>
      <b/>
      <sz val="10"/>
      <name val="Calibri"/>
      <family val="2"/>
    </font>
    <font>
      <sz val="9"/>
      <name val="Segoe UI"/>
      <family val="2"/>
    </font>
    <font>
      <b/>
      <sz val="9"/>
      <name val="Segoe U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8"/>
      <name val="Calibri"/>
      <family val="0"/>
    </font>
    <font>
      <sz val="11"/>
      <color indexed="8"/>
      <name val="Arial"/>
      <family val="0"/>
    </font>
    <font>
      <i/>
      <sz val="11"/>
      <color indexed="8"/>
      <name val="Calibri"/>
      <family val="0"/>
    </font>
    <font>
      <sz val="12"/>
      <color indexed="8"/>
      <name val="Calibri"/>
      <family val="0"/>
    </font>
    <font>
      <sz val="12"/>
      <color indexed="8"/>
      <name val="Arial"/>
      <family val="0"/>
    </font>
    <font>
      <b/>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style="thin"/>
      <top>
        <color indexed="63"/>
      </top>
      <bottom>
        <color indexed="63"/>
      </bottom>
    </border>
    <border>
      <left style="thin">
        <color indexed="9"/>
      </left>
      <right style="thin">
        <color indexed="9"/>
      </right>
      <top style="thin">
        <color indexed="9"/>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color indexed="63"/>
      </left>
      <right style="thin"/>
      <top style="thin"/>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color indexed="63"/>
      </left>
      <right style="thin">
        <color indexed="9"/>
      </right>
      <top style="thin">
        <color indexed="9"/>
      </top>
      <bottom style="thin"/>
    </border>
    <border>
      <left style="thin"/>
      <right style="thin"/>
      <top style="thin"/>
      <bottom style="thin">
        <color indexed="9"/>
      </bottom>
    </border>
    <border>
      <left>
        <color indexed="63"/>
      </left>
      <right style="thin"/>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style="thin"/>
      <right style="thin"/>
      <top style="thin">
        <color indexed="9"/>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color indexed="8"/>
      </right>
      <top>
        <color indexed="63"/>
      </top>
      <bottom style="medium">
        <color indexed="8"/>
      </bottom>
    </border>
    <border>
      <left style="medium"/>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color indexed="63"/>
      </top>
      <bottom style="medium">
        <color indexed="8"/>
      </bottom>
    </border>
    <border>
      <left style="medium">
        <color indexed="8"/>
      </left>
      <right>
        <color indexed="63"/>
      </right>
      <top>
        <color indexed="63"/>
      </top>
      <bottom style="medium">
        <color indexed="8"/>
      </bottom>
    </border>
    <border>
      <left style="thin">
        <color indexed="9"/>
      </left>
      <right>
        <color indexed="63"/>
      </right>
      <top style="thin">
        <color indexed="9"/>
      </top>
      <bottom style="thin"/>
    </border>
    <border>
      <left>
        <color indexed="63"/>
      </left>
      <right>
        <color indexed="63"/>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top/>
      <bottom/>
    </border>
    <border>
      <left>
        <color indexed="63"/>
      </left>
      <right>
        <color indexed="63"/>
      </right>
      <top style="medium"/>
      <bottom style="medium"/>
    </border>
    <border>
      <left style="medium"/>
      <right/>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thin"/>
      <right style="medium"/>
      <top style="medium"/>
      <bottom style="thin"/>
    </border>
    <border>
      <left style="thin"/>
      <right style="medium"/>
      <top style="thin"/>
      <bottom style="thin"/>
    </border>
    <border>
      <left style="thin"/>
      <right style="medium"/>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4"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5"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9" fontId="28" fillId="0" borderId="0" applyFont="0" applyFill="0" applyBorder="0" applyAlignment="0" applyProtection="0"/>
    <xf numFmtId="0" fontId="8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8" fillId="0" borderId="0">
      <alignment/>
      <protection/>
    </xf>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7" fillId="21" borderId="5" applyNumberFormat="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828">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61"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0" fontId="10" fillId="34" borderId="10" xfId="0" applyNumberFormat="1" applyFont="1" applyFill="1" applyBorder="1" applyAlignment="1" applyProtection="1">
      <alignment horizontal="center"/>
      <protection locked="0"/>
    </xf>
    <xf numFmtId="190"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61"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77" fontId="0" fillId="0" borderId="15" xfId="0" applyNumberFormat="1" applyFont="1" applyFill="1" applyBorder="1" applyAlignment="1">
      <alignment/>
    </xf>
    <xf numFmtId="0" fontId="20" fillId="0" borderId="0" xfId="0" applyFont="1" applyBorder="1" applyAlignment="1">
      <alignment/>
    </xf>
    <xf numFmtId="0" fontId="24" fillId="0" borderId="0" xfId="0" applyFont="1" applyAlignment="1">
      <alignment/>
    </xf>
    <xf numFmtId="4" fontId="6" fillId="33" borderId="0" xfId="61" applyNumberFormat="1" applyFont="1" applyFill="1" applyBorder="1" applyAlignment="1">
      <alignment/>
    </xf>
    <xf numFmtId="4" fontId="17" fillId="33" borderId="0" xfId="61"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6"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7" xfId="0" applyFont="1" applyFill="1" applyBorder="1" applyAlignment="1">
      <alignment horizontal="left"/>
    </xf>
    <xf numFmtId="173" fontId="0" fillId="0" borderId="17" xfId="0" applyNumberFormat="1" applyFont="1" applyFill="1" applyBorder="1" applyAlignment="1">
      <alignment horizontal="left"/>
    </xf>
    <xf numFmtId="49" fontId="0" fillId="0" borderId="0" xfId="0" applyNumberFormat="1" applyFont="1" applyAlignment="1">
      <alignment/>
    </xf>
    <xf numFmtId="177"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77" fontId="6" fillId="0" borderId="15" xfId="0" applyNumberFormat="1" applyFont="1" applyFill="1" applyBorder="1" applyAlignment="1" applyProtection="1">
      <alignment horizontal="right"/>
      <protection locked="0"/>
    </xf>
    <xf numFmtId="177" fontId="17" fillId="0" borderId="15" xfId="0" applyNumberFormat="1" applyFont="1" applyBorder="1" applyAlignment="1">
      <alignment/>
    </xf>
    <xf numFmtId="0" fontId="17" fillId="0" borderId="15" xfId="0" applyFont="1" applyBorder="1" applyAlignment="1">
      <alignment/>
    </xf>
    <xf numFmtId="0" fontId="5" fillId="0" borderId="0" xfId="0" applyFont="1" applyFill="1" applyAlignment="1">
      <alignment/>
    </xf>
    <xf numFmtId="43" fontId="0" fillId="0" borderId="15" xfId="0" applyNumberFormat="1" applyFont="1" applyFill="1" applyBorder="1" applyAlignment="1">
      <alignment/>
    </xf>
    <xf numFmtId="0" fontId="0" fillId="0" borderId="0" xfId="0" applyFill="1" applyAlignment="1">
      <alignment/>
    </xf>
    <xf numFmtId="0" fontId="30" fillId="34" borderId="0" xfId="0" applyFont="1" applyFill="1" applyAlignment="1">
      <alignment/>
    </xf>
    <xf numFmtId="0" fontId="31" fillId="0" borderId="0" xfId="0" applyFont="1" applyAlignment="1" applyProtection="1">
      <alignment/>
      <protection locked="0"/>
    </xf>
    <xf numFmtId="0" fontId="29" fillId="0" borderId="0" xfId="0" applyFont="1" applyFill="1" applyAlignment="1">
      <alignment/>
    </xf>
    <xf numFmtId="177" fontId="2" fillId="0" borderId="15" xfId="0" applyNumberFormat="1" applyFont="1" applyFill="1" applyBorder="1" applyAlignment="1">
      <alignment/>
    </xf>
    <xf numFmtId="0" fontId="7" fillId="35" borderId="0" xfId="0" applyFont="1" applyFill="1" applyAlignment="1">
      <alignment/>
    </xf>
    <xf numFmtId="0" fontId="0" fillId="35"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0" fontId="1" fillId="34" borderId="10" xfId="0" applyNumberFormat="1" applyFont="1" applyFill="1" applyBorder="1" applyAlignment="1">
      <alignment horizontal="center" vertical="center"/>
    </xf>
    <xf numFmtId="190"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1" fillId="0" borderId="0" xfId="0" applyFont="1" applyFill="1" applyAlignment="1" applyProtection="1">
      <alignment/>
      <protection locked="0"/>
    </xf>
    <xf numFmtId="0" fontId="7" fillId="0" borderId="0" xfId="0" applyFont="1" applyFill="1" applyAlignment="1">
      <alignment/>
    </xf>
    <xf numFmtId="0" fontId="3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2" fillId="0" borderId="0" xfId="0" applyNumberFormat="1" applyFont="1" applyFill="1" applyAlignment="1">
      <alignment/>
    </xf>
    <xf numFmtId="0" fontId="9" fillId="35" borderId="18" xfId="0" applyFont="1" applyFill="1" applyBorder="1" applyAlignment="1">
      <alignment/>
    </xf>
    <xf numFmtId="177" fontId="9" fillId="35" borderId="15" xfId="0" applyNumberFormat="1" applyFont="1" applyFill="1" applyBorder="1" applyAlignment="1">
      <alignment/>
    </xf>
    <xf numFmtId="43" fontId="0" fillId="0" borderId="16" xfId="0" applyNumberFormat="1" applyFont="1" applyFill="1" applyBorder="1" applyAlignment="1">
      <alignment horizontal="right" wrapText="1"/>
    </xf>
    <xf numFmtId="43" fontId="0" fillId="0" borderId="16" xfId="0" applyNumberFormat="1" applyFont="1" applyFill="1" applyBorder="1" applyAlignment="1" applyProtection="1">
      <alignment horizontal="right"/>
      <protection locked="0"/>
    </xf>
    <xf numFmtId="0" fontId="33" fillId="36" borderId="19" xfId="0" applyFont="1" applyFill="1" applyBorder="1" applyAlignment="1" applyProtection="1">
      <alignment horizontal="center" vertical="center"/>
      <protection/>
    </xf>
    <xf numFmtId="0" fontId="33" fillId="36" borderId="15" xfId="0" applyFont="1" applyFill="1" applyBorder="1" applyAlignment="1" applyProtection="1">
      <alignment horizontal="center" vertical="center"/>
      <protection/>
    </xf>
    <xf numFmtId="49" fontId="33" fillId="36" borderId="19" xfId="0" applyNumberFormat="1" applyFont="1" applyFill="1" applyBorder="1" applyAlignment="1" applyProtection="1">
      <alignment vertical="center"/>
      <protection/>
    </xf>
    <xf numFmtId="43" fontId="33" fillId="36" borderId="15" xfId="0" applyNumberFormat="1" applyFont="1" applyFill="1" applyBorder="1" applyAlignment="1" applyProtection="1">
      <alignment vertical="center"/>
      <protection/>
    </xf>
    <xf numFmtId="49" fontId="33" fillId="36" borderId="19" xfId="0" applyNumberFormat="1" applyFont="1" applyFill="1" applyBorder="1" applyAlignment="1" applyProtection="1">
      <alignment horizontal="left" vertical="center"/>
      <protection/>
    </xf>
    <xf numFmtId="43" fontId="33" fillId="36" borderId="15" xfId="0" applyNumberFormat="1" applyFont="1" applyFill="1" applyBorder="1" applyAlignment="1" applyProtection="1">
      <alignment horizontal="left" vertical="center"/>
      <protection/>
    </xf>
    <xf numFmtId="0" fontId="34" fillId="36" borderId="0" xfId="0" applyFont="1" applyFill="1" applyAlignment="1" applyProtection="1">
      <alignment horizontal="left" vertical="center" indent="1"/>
      <protection/>
    </xf>
    <xf numFmtId="43" fontId="34" fillId="36" borderId="15" xfId="0" applyNumberFormat="1" applyFont="1" applyFill="1" applyBorder="1" applyAlignment="1" applyProtection="1">
      <alignment horizontal="left" vertical="center" indent="1"/>
      <protection/>
    </xf>
    <xf numFmtId="49" fontId="34" fillId="36" borderId="0" xfId="0" applyNumberFormat="1" applyFont="1" applyFill="1" applyBorder="1" applyAlignment="1" applyProtection="1">
      <alignment horizontal="left" vertical="center" indent="1"/>
      <protection/>
    </xf>
    <xf numFmtId="0" fontId="5" fillId="37" borderId="20" xfId="0" applyFont="1" applyFill="1" applyBorder="1" applyAlignment="1">
      <alignment horizontal="center" wrapText="1"/>
    </xf>
    <xf numFmtId="0" fontId="35" fillId="37" borderId="0" xfId="0" applyFont="1" applyFill="1" applyBorder="1" applyAlignment="1">
      <alignment horizontal="center" wrapText="1"/>
    </xf>
    <xf numFmtId="1" fontId="33" fillId="35" borderId="18" xfId="80" applyNumberFormat="1" applyFont="1" applyFill="1" applyBorder="1" applyAlignment="1" applyProtection="1">
      <alignment horizontal="center" vertical="center" wrapText="1"/>
      <protection/>
    </xf>
    <xf numFmtId="0" fontId="34" fillId="35" borderId="0" xfId="80" applyNumberFormat="1" applyFont="1" applyFill="1" applyBorder="1" applyAlignment="1" applyProtection="1">
      <alignment horizontal="left" vertical="center"/>
      <protection/>
    </xf>
    <xf numFmtId="0" fontId="34" fillId="35" borderId="0" xfId="80" applyNumberFormat="1" applyFont="1" applyFill="1" applyAlignment="1" applyProtection="1">
      <alignment horizontal="left" vertical="center"/>
      <protection/>
    </xf>
    <xf numFmtId="49" fontId="0" fillId="35" borderId="0" xfId="0" applyNumberFormat="1" applyFont="1" applyFill="1" applyAlignment="1" applyProtection="1">
      <alignment vertical="center"/>
      <protection/>
    </xf>
    <xf numFmtId="208" fontId="0" fillId="35" borderId="0" xfId="80" applyNumberFormat="1" applyFont="1" applyFill="1" applyAlignment="1" applyProtection="1">
      <alignment vertical="center"/>
      <protection/>
    </xf>
    <xf numFmtId="0" fontId="34" fillId="35" borderId="21" xfId="80" applyNumberFormat="1" applyFont="1" applyFill="1" applyBorder="1" applyAlignment="1" applyProtection="1">
      <alignment horizontal="left" vertical="center"/>
      <protection/>
    </xf>
    <xf numFmtId="0" fontId="34" fillId="35" borderId="22" xfId="80" applyNumberFormat="1" applyFont="1" applyFill="1" applyBorder="1" applyAlignment="1" applyProtection="1">
      <alignment horizontal="left" vertical="center"/>
      <protection/>
    </xf>
    <xf numFmtId="0" fontId="34" fillId="35" borderId="23" xfId="80"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24" xfId="0" applyNumberFormat="1" applyFont="1" applyBorder="1" applyAlignment="1">
      <alignment horizontal="justify" wrapText="1"/>
    </xf>
    <xf numFmtId="0" fontId="17" fillId="0" borderId="25" xfId="0" applyFont="1" applyBorder="1" applyAlignment="1">
      <alignment horizontal="justify" wrapText="1"/>
    </xf>
    <xf numFmtId="0" fontId="17" fillId="0" borderId="26" xfId="0" applyFont="1" applyBorder="1" applyAlignment="1">
      <alignment horizontal="justify" wrapText="1"/>
    </xf>
    <xf numFmtId="0" fontId="17" fillId="0" borderId="0" xfId="0" applyFont="1" applyAlignment="1">
      <alignment wrapText="1"/>
    </xf>
    <xf numFmtId="0" fontId="0" fillId="0" borderId="0" xfId="0" applyAlignment="1">
      <alignment/>
    </xf>
    <xf numFmtId="190" fontId="37" fillId="35" borderId="27" xfId="0" applyNumberFormat="1" applyFont="1" applyFill="1" applyBorder="1" applyAlignment="1" applyProtection="1">
      <alignment horizontal="center"/>
      <protection locked="0"/>
    </xf>
    <xf numFmtId="190" fontId="37" fillId="35" borderId="28" xfId="0" applyNumberFormat="1" applyFont="1" applyFill="1" applyBorder="1" applyAlignment="1" applyProtection="1">
      <alignment horizontal="center"/>
      <protection locked="0"/>
    </xf>
    <xf numFmtId="190" fontId="37" fillId="35" borderId="29" xfId="0" applyNumberFormat="1" applyFont="1" applyFill="1" applyBorder="1" applyAlignment="1" applyProtection="1">
      <alignment horizontal="center"/>
      <protection locked="0"/>
    </xf>
    <xf numFmtId="190" fontId="37" fillId="35" borderId="30" xfId="0" applyNumberFormat="1" applyFont="1" applyFill="1" applyBorder="1" applyAlignment="1" applyProtection="1">
      <alignment horizontal="center"/>
      <protection locked="0"/>
    </xf>
    <xf numFmtId="190" fontId="5" fillId="35" borderId="10" xfId="0" applyNumberFormat="1" applyFont="1" applyFill="1" applyBorder="1" applyAlignment="1">
      <alignment horizontal="center" vertical="center"/>
    </xf>
    <xf numFmtId="190" fontId="5" fillId="35" borderId="11" xfId="0" applyNumberFormat="1" applyFont="1" applyFill="1" applyBorder="1" applyAlignment="1">
      <alignment horizontal="center" vertical="center"/>
    </xf>
    <xf numFmtId="0" fontId="5" fillId="35" borderId="23" xfId="59" applyFont="1" applyFill="1" applyBorder="1" applyAlignment="1">
      <alignment vertical="center"/>
      <protection/>
    </xf>
    <xf numFmtId="0" fontId="5" fillId="35" borderId="23" xfId="59" applyNumberFormat="1" applyFont="1" applyFill="1" applyBorder="1" applyAlignment="1">
      <alignment vertical="center" wrapText="1"/>
      <protection/>
    </xf>
    <xf numFmtId="43" fontId="37" fillId="35" borderId="10" xfId="0" applyNumberFormat="1" applyFont="1" applyFill="1" applyBorder="1" applyAlignment="1" applyProtection="1">
      <alignment horizontal="right"/>
      <protection locked="0"/>
    </xf>
    <xf numFmtId="0" fontId="5" fillId="35" borderId="15" xfId="59" applyFont="1" applyFill="1" applyBorder="1" applyAlignment="1">
      <alignment vertical="center"/>
      <protection/>
    </xf>
    <xf numFmtId="0" fontId="5" fillId="35" borderId="15" xfId="59" applyNumberFormat="1" applyFont="1" applyFill="1" applyBorder="1" applyAlignment="1">
      <alignment vertical="center" wrapText="1"/>
      <protection/>
    </xf>
    <xf numFmtId="43" fontId="5" fillId="35" borderId="15" xfId="0" applyNumberFormat="1" applyFont="1" applyFill="1" applyBorder="1" applyAlignment="1">
      <alignment/>
    </xf>
    <xf numFmtId="0" fontId="0" fillId="35" borderId="15" xfId="59" applyFont="1" applyFill="1" applyBorder="1" applyAlignment="1">
      <alignment vertical="center"/>
      <protection/>
    </xf>
    <xf numFmtId="0" fontId="0" fillId="35" borderId="15" xfId="59" applyNumberFormat="1" applyFont="1" applyFill="1" applyBorder="1" applyAlignment="1">
      <alignment vertical="center" wrapText="1"/>
      <protection/>
    </xf>
    <xf numFmtId="43" fontId="0" fillId="35" borderId="15" xfId="0" applyNumberFormat="1" applyFont="1" applyFill="1" applyBorder="1" applyAlignment="1">
      <alignment/>
    </xf>
    <xf numFmtId="206" fontId="0" fillId="35" borderId="15" xfId="59" applyNumberFormat="1" applyFont="1" applyFill="1" applyBorder="1" applyAlignment="1">
      <alignment vertical="center" wrapText="1"/>
      <protection/>
    </xf>
    <xf numFmtId="0" fontId="0" fillId="35" borderId="31" xfId="59" applyFont="1" applyFill="1" applyBorder="1" applyAlignment="1">
      <alignment vertical="center"/>
      <protection/>
    </xf>
    <xf numFmtId="177" fontId="0" fillId="35" borderId="15" xfId="0" applyNumberFormat="1" applyFont="1" applyFill="1" applyBorder="1" applyAlignment="1">
      <alignment/>
    </xf>
    <xf numFmtId="177" fontId="5" fillId="35" borderId="15" xfId="0" applyNumberFormat="1" applyFont="1" applyFill="1" applyBorder="1" applyAlignment="1">
      <alignment/>
    </xf>
    <xf numFmtId="0" fontId="0" fillId="35" borderId="0" xfId="0" applyFont="1" applyFill="1" applyBorder="1" applyAlignment="1">
      <alignment/>
    </xf>
    <xf numFmtId="0" fontId="0" fillId="35" borderId="16" xfId="0" applyFont="1" applyFill="1" applyBorder="1" applyAlignment="1">
      <alignment/>
    </xf>
    <xf numFmtId="0" fontId="5" fillId="35" borderId="20" xfId="0" applyFont="1" applyFill="1" applyBorder="1" applyAlignment="1">
      <alignment/>
    </xf>
    <xf numFmtId="0" fontId="5" fillId="35" borderId="18" xfId="0" applyFont="1" applyFill="1" applyBorder="1" applyAlignment="1">
      <alignment/>
    </xf>
    <xf numFmtId="177" fontId="1" fillId="35" borderId="15" xfId="0" applyNumberFormat="1" applyFont="1" applyFill="1" applyBorder="1" applyAlignment="1">
      <alignment/>
    </xf>
    <xf numFmtId="190" fontId="10" fillId="35" borderId="27" xfId="0" applyNumberFormat="1" applyFont="1" applyFill="1" applyBorder="1" applyAlignment="1" applyProtection="1">
      <alignment horizontal="center"/>
      <protection locked="0"/>
    </xf>
    <xf numFmtId="190" fontId="10" fillId="35" borderId="28" xfId="0" applyNumberFormat="1" applyFont="1" applyFill="1" applyBorder="1" applyAlignment="1" applyProtection="1">
      <alignment horizontal="center"/>
      <protection locked="0"/>
    </xf>
    <xf numFmtId="190" fontId="10" fillId="35" borderId="29" xfId="0" applyNumberFormat="1" applyFont="1" applyFill="1" applyBorder="1" applyAlignment="1" applyProtection="1">
      <alignment horizontal="center"/>
      <protection locked="0"/>
    </xf>
    <xf numFmtId="190" fontId="10" fillId="35" borderId="30" xfId="0" applyNumberFormat="1" applyFont="1" applyFill="1" applyBorder="1" applyAlignment="1" applyProtection="1">
      <alignment horizontal="center"/>
      <protection locked="0"/>
    </xf>
    <xf numFmtId="190" fontId="1" fillId="35" borderId="10" xfId="0" applyNumberFormat="1" applyFont="1" applyFill="1" applyBorder="1" applyAlignment="1">
      <alignment horizontal="center" vertical="center"/>
    </xf>
    <xf numFmtId="190" fontId="1" fillId="35" borderId="11" xfId="0" applyNumberFormat="1" applyFont="1" applyFill="1" applyBorder="1" applyAlignment="1">
      <alignment horizontal="center" vertical="center"/>
    </xf>
    <xf numFmtId="177" fontId="2" fillId="35" borderId="15" xfId="0" applyNumberFormat="1" applyFont="1" applyFill="1" applyBorder="1" applyAlignment="1">
      <alignment/>
    </xf>
    <xf numFmtId="177" fontId="2" fillId="38" borderId="15" xfId="0" applyNumberFormat="1" applyFont="1" applyFill="1" applyBorder="1" applyAlignment="1">
      <alignment/>
    </xf>
    <xf numFmtId="3" fontId="6" fillId="35" borderId="15" xfId="0" applyNumberFormat="1" applyFont="1" applyFill="1" applyBorder="1" applyAlignment="1">
      <alignment horizontal="center"/>
    </xf>
    <xf numFmtId="0" fontId="6" fillId="35" borderId="15" xfId="0" applyFont="1" applyFill="1" applyBorder="1" applyAlignment="1">
      <alignment horizontal="center"/>
    </xf>
    <xf numFmtId="0" fontId="6" fillId="35" borderId="15" xfId="0" applyFont="1" applyFill="1" applyBorder="1" applyAlignment="1">
      <alignment/>
    </xf>
    <xf numFmtId="177" fontId="6" fillId="35" borderId="15" xfId="0" applyNumberFormat="1" applyFont="1" applyFill="1" applyBorder="1" applyAlignment="1">
      <alignment/>
    </xf>
    <xf numFmtId="177" fontId="17" fillId="35" borderId="15" xfId="0" applyNumberFormat="1" applyFont="1" applyFill="1" applyBorder="1" applyAlignment="1">
      <alignment/>
    </xf>
    <xf numFmtId="0" fontId="6" fillId="35" borderId="15" xfId="0" applyFont="1" applyFill="1" applyBorder="1" applyAlignment="1">
      <alignment horizontal="left" vertical="center" wrapText="1"/>
    </xf>
    <xf numFmtId="177" fontId="6" fillId="35" borderId="15" xfId="0" applyNumberFormat="1" applyFont="1" applyFill="1" applyBorder="1" applyAlignment="1">
      <alignment horizontal="right"/>
    </xf>
    <xf numFmtId="0" fontId="17" fillId="35" borderId="18" xfId="0" applyFont="1" applyFill="1" applyBorder="1" applyAlignment="1">
      <alignment horizontal="center" vertical="center" wrapText="1"/>
    </xf>
    <xf numFmtId="0" fontId="17" fillId="35" borderId="16" xfId="0" applyFont="1" applyFill="1" applyBorder="1" applyAlignment="1">
      <alignment vertical="top" wrapText="1"/>
    </xf>
    <xf numFmtId="0" fontId="17" fillId="35" borderId="18" xfId="0" applyFont="1" applyFill="1" applyBorder="1" applyAlignment="1">
      <alignment vertical="top" wrapText="1"/>
    </xf>
    <xf numFmtId="177" fontId="17" fillId="35" borderId="22" xfId="0" applyNumberFormat="1" applyFont="1" applyFill="1" applyBorder="1" applyAlignment="1">
      <alignment vertical="top" wrapText="1"/>
    </xf>
    <xf numFmtId="0" fontId="6" fillId="0" borderId="17" xfId="0" applyFont="1" applyFill="1" applyBorder="1" applyAlignment="1">
      <alignment wrapText="1"/>
    </xf>
    <xf numFmtId="173" fontId="17" fillId="0" borderId="17" xfId="0" applyNumberFormat="1" applyFont="1" applyFill="1" applyBorder="1" applyAlignment="1">
      <alignment horizontal="right" wrapText="1"/>
    </xf>
    <xf numFmtId="0" fontId="6" fillId="35" borderId="16" xfId="0" applyFont="1" applyFill="1" applyBorder="1" applyAlignment="1">
      <alignment vertical="top" wrapText="1"/>
    </xf>
    <xf numFmtId="177" fontId="6" fillId="35" borderId="22" xfId="0" applyNumberFormat="1" applyFont="1" applyFill="1" applyBorder="1" applyAlignment="1">
      <alignment vertical="top" wrapText="1"/>
    </xf>
    <xf numFmtId="0" fontId="6" fillId="35" borderId="18" xfId="0" applyFont="1" applyFill="1" applyBorder="1" applyAlignment="1">
      <alignment vertical="top" wrapText="1"/>
    </xf>
    <xf numFmtId="177" fontId="6" fillId="35" borderId="23" xfId="0" applyNumberFormat="1" applyFont="1" applyFill="1" applyBorder="1" applyAlignment="1">
      <alignment vertical="top" wrapText="1"/>
    </xf>
    <xf numFmtId="177" fontId="17" fillId="0" borderId="23" xfId="0" applyNumberFormat="1" applyFont="1" applyFill="1" applyBorder="1" applyAlignment="1">
      <alignment vertical="top" wrapText="1"/>
    </xf>
    <xf numFmtId="177" fontId="17" fillId="0" borderId="22" xfId="0" applyNumberFormat="1" applyFont="1" applyFill="1" applyBorder="1" applyAlignment="1">
      <alignment vertical="top" wrapText="1"/>
    </xf>
    <xf numFmtId="177" fontId="6" fillId="35" borderId="23" xfId="0" applyNumberFormat="1" applyFont="1" applyFill="1" applyBorder="1" applyAlignment="1">
      <alignment horizontal="right" vertical="top" wrapText="1"/>
    </xf>
    <xf numFmtId="0" fontId="6" fillId="35" borderId="15" xfId="0" applyFont="1" applyFill="1" applyBorder="1" applyAlignment="1">
      <alignment horizontal="center" wrapText="1"/>
    </xf>
    <xf numFmtId="0" fontId="17" fillId="35" borderId="15" xfId="0" applyFont="1" applyFill="1" applyBorder="1" applyAlignment="1">
      <alignment horizontal="left" wrapText="1"/>
    </xf>
    <xf numFmtId="177"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5" borderId="21" xfId="0" applyFont="1" applyFill="1" applyBorder="1" applyAlignment="1">
      <alignment horizontal="left" wrapText="1"/>
    </xf>
    <xf numFmtId="177" fontId="6" fillId="35" borderId="21" xfId="0" applyNumberFormat="1" applyFont="1" applyFill="1" applyBorder="1" applyAlignment="1">
      <alignment horizontal="justify" vertical="top" wrapText="1"/>
    </xf>
    <xf numFmtId="0" fontId="6" fillId="35" borderId="15" xfId="0" applyFont="1" applyFill="1" applyBorder="1" applyAlignment="1">
      <alignment horizontal="left" wrapText="1"/>
    </xf>
    <xf numFmtId="177" fontId="6" fillId="35" borderId="15" xfId="0" applyNumberFormat="1" applyFont="1" applyFill="1" applyBorder="1" applyAlignment="1">
      <alignment horizontal="justify" vertical="top" wrapText="1"/>
    </xf>
    <xf numFmtId="177" fontId="17" fillId="35" borderId="15" xfId="0" applyNumberFormat="1" applyFont="1" applyFill="1" applyBorder="1" applyAlignment="1">
      <alignment horizontal="justify" vertical="top" wrapText="1"/>
    </xf>
    <xf numFmtId="0" fontId="0" fillId="0" borderId="32" xfId="0" applyFont="1" applyFill="1" applyBorder="1" applyAlignment="1">
      <alignment wrapText="1"/>
    </xf>
    <xf numFmtId="43" fontId="0" fillId="0" borderId="15" xfId="0" applyNumberFormat="1" applyFont="1" applyFill="1" applyBorder="1" applyAlignment="1">
      <alignment wrapText="1"/>
    </xf>
    <xf numFmtId="43" fontId="0" fillId="0" borderId="15" xfId="0" applyNumberFormat="1" applyFont="1" applyFill="1" applyBorder="1" applyAlignment="1" applyProtection="1">
      <alignment wrapText="1"/>
      <protection locked="0"/>
    </xf>
    <xf numFmtId="0" fontId="0" fillId="35" borderId="15" xfId="59" applyFont="1" applyFill="1" applyBorder="1" applyAlignment="1">
      <alignment vertical="center" wrapText="1"/>
      <protection/>
    </xf>
    <xf numFmtId="0" fontId="5" fillId="37" borderId="15" xfId="59" applyFont="1" applyFill="1" applyBorder="1" applyAlignment="1">
      <alignment vertical="center"/>
      <protection/>
    </xf>
    <xf numFmtId="0" fontId="5" fillId="37" borderId="15" xfId="59" applyNumberFormat="1" applyFont="1" applyFill="1" applyBorder="1" applyAlignment="1">
      <alignment vertical="center" wrapText="1"/>
      <protection/>
    </xf>
    <xf numFmtId="43" fontId="5" fillId="37" borderId="15" xfId="0" applyNumberFormat="1" applyFont="1" applyFill="1" applyBorder="1" applyAlignment="1">
      <alignment/>
    </xf>
    <xf numFmtId="43" fontId="0" fillId="33" borderId="15" xfId="0" applyNumberFormat="1" applyFont="1" applyFill="1" applyBorder="1" applyAlignment="1">
      <alignment/>
    </xf>
    <xf numFmtId="3" fontId="40" fillId="35" borderId="15" xfId="0" applyNumberFormat="1" applyFont="1" applyFill="1" applyBorder="1" applyAlignment="1">
      <alignment horizontal="center"/>
    </xf>
    <xf numFmtId="0" fontId="40" fillId="35" borderId="15" xfId="0" applyFont="1" applyFill="1" applyBorder="1" applyAlignment="1">
      <alignment horizontal="center"/>
    </xf>
    <xf numFmtId="0" fontId="40" fillId="33" borderId="15" xfId="0" applyNumberFormat="1" applyFont="1" applyFill="1" applyBorder="1" applyAlignment="1">
      <alignment/>
    </xf>
    <xf numFmtId="0" fontId="41" fillId="33" borderId="15" xfId="0" applyNumberFormat="1" applyFont="1" applyFill="1" applyBorder="1" applyAlignment="1">
      <alignment/>
    </xf>
    <xf numFmtId="0" fontId="40" fillId="0" borderId="15" xfId="0" applyNumberFormat="1" applyFont="1" applyBorder="1" applyAlignment="1">
      <alignment/>
    </xf>
    <xf numFmtId="0" fontId="41" fillId="0" borderId="15" xfId="0" applyNumberFormat="1" applyFont="1" applyBorder="1" applyAlignment="1">
      <alignment/>
    </xf>
    <xf numFmtId="43" fontId="41" fillId="0" borderId="15" xfId="0" applyNumberFormat="1" applyFont="1" applyBorder="1" applyAlignment="1">
      <alignment/>
    </xf>
    <xf numFmtId="0" fontId="39" fillId="0" borderId="15" xfId="0" applyNumberFormat="1" applyFont="1" applyBorder="1" applyAlignment="1">
      <alignment/>
    </xf>
    <xf numFmtId="0" fontId="41" fillId="33" borderId="33" xfId="0" applyFont="1" applyFill="1" applyBorder="1" applyAlignment="1">
      <alignment horizontal="justify" vertical="center" wrapText="1"/>
    </xf>
    <xf numFmtId="0" fontId="41" fillId="33" borderId="34" xfId="0" applyFont="1" applyFill="1" applyBorder="1" applyAlignment="1">
      <alignment horizontal="justify" vertical="center" wrapText="1"/>
    </xf>
    <xf numFmtId="0" fontId="41" fillId="33" borderId="35" xfId="0" applyFont="1" applyFill="1" applyBorder="1" applyAlignment="1">
      <alignment horizontal="justify" vertical="center" wrapText="1"/>
    </xf>
    <xf numFmtId="0" fontId="41" fillId="0" borderId="0" xfId="0" applyFont="1" applyAlignment="1">
      <alignment/>
    </xf>
    <xf numFmtId="0" fontId="40" fillId="0" borderId="0" xfId="0" applyFont="1" applyAlignment="1">
      <alignment/>
    </xf>
    <xf numFmtId="3" fontId="41" fillId="0" borderId="0" xfId="0" applyNumberFormat="1" applyFont="1" applyAlignment="1">
      <alignment/>
    </xf>
    <xf numFmtId="0" fontId="39" fillId="0" borderId="0" xfId="0" applyFont="1" applyAlignment="1">
      <alignment/>
    </xf>
    <xf numFmtId="0" fontId="42" fillId="0" borderId="0" xfId="0" applyFont="1" applyAlignment="1">
      <alignment/>
    </xf>
    <xf numFmtId="0" fontId="43" fillId="0" borderId="0" xfId="0" applyFont="1" applyAlignment="1">
      <alignment/>
    </xf>
    <xf numFmtId="0" fontId="40" fillId="39" borderId="15" xfId="0" applyFont="1" applyFill="1" applyBorder="1" applyAlignment="1">
      <alignment/>
    </xf>
    <xf numFmtId="3" fontId="40" fillId="39" borderId="15" xfId="0" applyNumberFormat="1" applyFont="1" applyFill="1" applyBorder="1" applyAlignment="1">
      <alignment/>
    </xf>
    <xf numFmtId="0" fontId="41" fillId="33" borderId="36" xfId="0" applyFont="1" applyFill="1" applyBorder="1" applyAlignment="1">
      <alignment horizontal="justify" vertical="center" wrapText="1"/>
    </xf>
    <xf numFmtId="0" fontId="41" fillId="33" borderId="37" xfId="0" applyFont="1" applyFill="1" applyBorder="1" applyAlignment="1">
      <alignment horizontal="justify" vertical="center" wrapText="1"/>
    </xf>
    <xf numFmtId="0" fontId="40" fillId="34" borderId="15" xfId="0" applyFont="1" applyFill="1" applyBorder="1" applyAlignment="1">
      <alignment/>
    </xf>
    <xf numFmtId="43" fontId="40" fillId="34" borderId="15" xfId="0" applyNumberFormat="1" applyFont="1" applyFill="1" applyBorder="1" applyAlignment="1">
      <alignment/>
    </xf>
    <xf numFmtId="0" fontId="6" fillId="37" borderId="15" xfId="0" applyFont="1" applyFill="1" applyBorder="1" applyAlignment="1">
      <alignment/>
    </xf>
    <xf numFmtId="3" fontId="6" fillId="35" borderId="15" xfId="0" applyNumberFormat="1" applyFont="1" applyFill="1" applyBorder="1" applyAlignment="1">
      <alignment horizontal="center" wrapText="1"/>
    </xf>
    <xf numFmtId="177" fontId="6" fillId="37" borderId="15" xfId="0" applyNumberFormat="1" applyFont="1" applyFill="1" applyBorder="1" applyAlignment="1" applyProtection="1">
      <alignment/>
      <protection locked="0"/>
    </xf>
    <xf numFmtId="0" fontId="0" fillId="0" borderId="38" xfId="0" applyFont="1" applyFill="1" applyBorder="1" applyAlignment="1">
      <alignment horizontal="center"/>
    </xf>
    <xf numFmtId="0" fontId="0" fillId="0" borderId="15" xfId="0" applyFont="1" applyFill="1" applyBorder="1" applyAlignment="1">
      <alignment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wrapText="1"/>
    </xf>
    <xf numFmtId="0" fontId="0" fillId="0" borderId="23" xfId="0" applyFont="1" applyFill="1" applyBorder="1" applyAlignment="1" quotePrefix="1">
      <alignment horizontal="center" wrapText="1"/>
    </xf>
    <xf numFmtId="0" fontId="0" fillId="0" borderId="18" xfId="0" applyFont="1" applyFill="1" applyBorder="1" applyAlignment="1">
      <alignment horizontal="center" wrapText="1"/>
    </xf>
    <xf numFmtId="43" fontId="0" fillId="0" borderId="15" xfId="0" applyNumberFormat="1" applyFont="1" applyFill="1" applyBorder="1" applyAlignment="1">
      <alignment horizontal="right" wrapText="1"/>
    </xf>
    <xf numFmtId="0" fontId="0" fillId="0" borderId="16" xfId="0" applyFont="1" applyFill="1" applyBorder="1" applyAlignment="1">
      <alignment/>
    </xf>
    <xf numFmtId="0" fontId="0" fillId="0" borderId="18" xfId="0" applyFont="1" applyFill="1" applyBorder="1" applyAlignment="1">
      <alignment/>
    </xf>
    <xf numFmtId="0" fontId="44" fillId="0" borderId="17" xfId="0" applyFont="1" applyFill="1" applyBorder="1" applyAlignment="1">
      <alignment wrapText="1"/>
    </xf>
    <xf numFmtId="177" fontId="44" fillId="0" borderId="16" xfId="0" applyNumberFormat="1" applyFont="1" applyFill="1" applyBorder="1" applyAlignment="1" applyProtection="1">
      <alignment wrapText="1"/>
      <protection locked="0"/>
    </xf>
    <xf numFmtId="177" fontId="44" fillId="0" borderId="18" xfId="0" applyNumberFormat="1" applyFont="1" applyFill="1" applyBorder="1" applyAlignment="1" applyProtection="1">
      <alignment wrapText="1"/>
      <protection locked="0"/>
    </xf>
    <xf numFmtId="173" fontId="44" fillId="0" borderId="17" xfId="0" applyNumberFormat="1" applyFont="1" applyFill="1" applyBorder="1" applyAlignment="1">
      <alignment horizontal="right" wrapText="1"/>
    </xf>
    <xf numFmtId="0" fontId="44" fillId="0" borderId="18"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6" xfId="0" applyFont="1" applyFill="1" applyBorder="1" applyAlignment="1">
      <alignment wrapText="1"/>
    </xf>
    <xf numFmtId="0" fontId="44" fillId="0" borderId="18" xfId="0" applyFont="1" applyFill="1" applyBorder="1" applyAlignment="1">
      <alignment wrapText="1"/>
    </xf>
    <xf numFmtId="0" fontId="45" fillId="0" borderId="18" xfId="0" applyFont="1" applyFill="1" applyBorder="1" applyAlignment="1">
      <alignment wrapText="1"/>
    </xf>
    <xf numFmtId="0" fontId="5" fillId="34" borderId="15" xfId="0" applyFont="1" applyFill="1" applyBorder="1" applyAlignment="1">
      <alignment horizontal="center"/>
    </xf>
    <xf numFmtId="0" fontId="5" fillId="40" borderId="15" xfId="0" applyFont="1" applyFill="1" applyBorder="1" applyAlignment="1" applyProtection="1">
      <alignment/>
      <protection locked="0"/>
    </xf>
    <xf numFmtId="10" fontId="0" fillId="34" borderId="15" xfId="0" applyNumberFormat="1" applyFont="1" applyFill="1" applyBorder="1" applyAlignment="1" applyProtection="1">
      <alignment horizontal="right"/>
      <protection locked="0"/>
    </xf>
    <xf numFmtId="10" fontId="0" fillId="34" borderId="15" xfId="0" applyNumberFormat="1" applyFont="1" applyFill="1" applyBorder="1" applyAlignment="1" applyProtection="1">
      <alignment horizontal="center"/>
      <protection/>
    </xf>
    <xf numFmtId="0" fontId="5" fillId="40" borderId="15" xfId="0" applyFont="1" applyFill="1" applyBorder="1" applyAlignment="1">
      <alignment/>
    </xf>
    <xf numFmtId="0" fontId="5" fillId="41" borderId="15" xfId="0" applyFont="1" applyFill="1" applyBorder="1" applyAlignment="1">
      <alignment/>
    </xf>
    <xf numFmtId="0" fontId="5" fillId="34" borderId="15" xfId="0" applyFont="1" applyFill="1" applyBorder="1" applyAlignment="1">
      <alignment/>
    </xf>
    <xf numFmtId="39" fontId="0" fillId="34" borderId="15" xfId="0" applyNumberFormat="1" applyFont="1" applyFill="1" applyBorder="1" applyAlignment="1">
      <alignment/>
    </xf>
    <xf numFmtId="10" fontId="0" fillId="33" borderId="15" xfId="0" applyNumberFormat="1" applyFont="1" applyFill="1" applyBorder="1" applyAlignment="1" applyProtection="1">
      <alignment horizontal="center"/>
      <protection/>
    </xf>
    <xf numFmtId="10" fontId="0" fillId="33" borderId="15" xfId="0" applyNumberFormat="1" applyFont="1" applyFill="1" applyBorder="1" applyAlignment="1" applyProtection="1">
      <alignment horizontal="center"/>
      <protection locked="0"/>
    </xf>
    <xf numFmtId="43" fontId="41" fillId="37" borderId="15" xfId="0" applyNumberFormat="1" applyFont="1" applyFill="1" applyBorder="1" applyAlignment="1" applyProtection="1">
      <alignment/>
      <protection locked="0"/>
    </xf>
    <xf numFmtId="43" fontId="41" fillId="37" borderId="15" xfId="0" applyNumberFormat="1" applyFont="1" applyFill="1" applyBorder="1" applyAlignment="1">
      <alignment/>
    </xf>
    <xf numFmtId="43" fontId="40" fillId="37" borderId="15" xfId="0" applyNumberFormat="1" applyFont="1" applyFill="1" applyBorder="1" applyAlignment="1">
      <alignment/>
    </xf>
    <xf numFmtId="43" fontId="39" fillId="37" borderId="15" xfId="0" applyNumberFormat="1" applyFont="1" applyFill="1" applyBorder="1" applyAlignment="1">
      <alignment/>
    </xf>
    <xf numFmtId="43" fontId="40" fillId="37" borderId="15" xfId="0" applyNumberFormat="1" applyFont="1" applyFill="1" applyBorder="1" applyAlignment="1" applyProtection="1">
      <alignment/>
      <protection locked="0"/>
    </xf>
    <xf numFmtId="43" fontId="0" fillId="37" borderId="16" xfId="0" applyNumberFormat="1" applyFont="1" applyFill="1" applyBorder="1" applyAlignment="1">
      <alignment horizontal="right" wrapText="1"/>
    </xf>
    <xf numFmtId="43" fontId="0" fillId="37" borderId="15" xfId="0" applyNumberFormat="1" applyFont="1" applyFill="1" applyBorder="1" applyAlignment="1">
      <alignment horizontal="right" wrapText="1"/>
    </xf>
    <xf numFmtId="10" fontId="0" fillId="37" borderId="15" xfId="0" applyNumberFormat="1" applyFont="1" applyFill="1" applyBorder="1" applyAlignment="1">
      <alignment wrapText="1"/>
    </xf>
    <xf numFmtId="43" fontId="0" fillId="37" borderId="15" xfId="0" applyNumberFormat="1" applyFont="1" applyFill="1" applyBorder="1" applyAlignment="1">
      <alignment vertical="top" wrapText="1"/>
    </xf>
    <xf numFmtId="10" fontId="0" fillId="37" borderId="15" xfId="0" applyNumberFormat="1" applyFont="1" applyFill="1" applyBorder="1" applyAlignment="1">
      <alignment horizontal="right" vertical="top" wrapText="1"/>
    </xf>
    <xf numFmtId="10" fontId="0" fillId="37" borderId="16" xfId="0" applyNumberFormat="1" applyFont="1" applyFill="1" applyBorder="1" applyAlignment="1">
      <alignment horizontal="right" vertical="top"/>
    </xf>
    <xf numFmtId="43" fontId="0" fillId="37" borderId="16" xfId="0" applyNumberFormat="1" applyFont="1" applyFill="1" applyBorder="1" applyAlignment="1">
      <alignment horizontal="right" vertical="top"/>
    </xf>
    <xf numFmtId="10" fontId="0" fillId="37" borderId="16" xfId="0" applyNumberFormat="1" applyFont="1" applyFill="1" applyBorder="1" applyAlignment="1">
      <alignment horizontal="right" vertical="top" wrapText="1"/>
    </xf>
    <xf numFmtId="43" fontId="0" fillId="37" borderId="16" xfId="0" applyNumberFormat="1" applyFont="1" applyFill="1" applyBorder="1" applyAlignment="1">
      <alignment horizontal="right"/>
    </xf>
    <xf numFmtId="43" fontId="0" fillId="37" borderId="18" xfId="0" applyNumberFormat="1" applyFont="1" applyFill="1" applyBorder="1" applyAlignment="1">
      <alignment horizontal="right"/>
    </xf>
    <xf numFmtId="177" fontId="44" fillId="37" borderId="16" xfId="0" applyNumberFormat="1" applyFont="1" applyFill="1" applyBorder="1" applyAlignment="1">
      <alignment wrapText="1"/>
    </xf>
    <xf numFmtId="10" fontId="44" fillId="37" borderId="16" xfId="0" applyNumberFormat="1" applyFont="1" applyFill="1" applyBorder="1" applyAlignment="1">
      <alignment wrapText="1"/>
    </xf>
    <xf numFmtId="177" fontId="44" fillId="37" borderId="16" xfId="0" applyNumberFormat="1" applyFont="1" applyFill="1" applyBorder="1" applyAlignment="1" applyProtection="1">
      <alignment wrapText="1"/>
      <protection locked="0"/>
    </xf>
    <xf numFmtId="177" fontId="44" fillId="37" borderId="18" xfId="0" applyNumberFormat="1" applyFont="1" applyFill="1" applyBorder="1" applyAlignment="1" applyProtection="1">
      <alignment wrapText="1"/>
      <protection locked="0"/>
    </xf>
    <xf numFmtId="10" fontId="44" fillId="37" borderId="18" xfId="0" applyNumberFormat="1" applyFont="1" applyFill="1" applyBorder="1" applyAlignment="1">
      <alignment wrapText="1"/>
    </xf>
    <xf numFmtId="177" fontId="44" fillId="37" borderId="18" xfId="0" applyNumberFormat="1" applyFont="1" applyFill="1" applyBorder="1" applyAlignment="1">
      <alignment wrapText="1"/>
    </xf>
    <xf numFmtId="177" fontId="44" fillId="33" borderId="16" xfId="0" applyNumberFormat="1" applyFont="1" applyFill="1" applyBorder="1" applyAlignment="1" applyProtection="1">
      <alignment wrapText="1"/>
      <protection locked="0"/>
    </xf>
    <xf numFmtId="0" fontId="47" fillId="0" borderId="0" xfId="0" applyFont="1" applyFill="1" applyAlignment="1">
      <alignment/>
    </xf>
    <xf numFmtId="0" fontId="47" fillId="34" borderId="0" xfId="0" applyFont="1" applyFill="1" applyAlignment="1">
      <alignment/>
    </xf>
    <xf numFmtId="0" fontId="7" fillId="0" borderId="0" xfId="0" applyFont="1" applyFill="1" applyAlignment="1" quotePrefix="1">
      <alignment/>
    </xf>
    <xf numFmtId="0" fontId="16" fillId="0" borderId="17" xfId="0" applyFont="1" applyFill="1" applyBorder="1" applyAlignment="1">
      <alignment vertical="top" wrapText="1"/>
    </xf>
    <xf numFmtId="0" fontId="17" fillId="0" borderId="17" xfId="0" applyFont="1" applyFill="1" applyBorder="1" applyAlignment="1">
      <alignment vertical="top" wrapText="1"/>
    </xf>
    <xf numFmtId="173" fontId="17" fillId="0" borderId="17" xfId="0" applyNumberFormat="1" applyFont="1" applyFill="1" applyBorder="1" applyAlignment="1">
      <alignment horizontal="right" vertical="top"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17" fillId="33" borderId="0" xfId="0" applyFont="1" applyFill="1" applyBorder="1" applyAlignment="1">
      <alignment horizontal="left" vertical="center" wrapText="1"/>
    </xf>
    <xf numFmtId="43" fontId="17" fillId="33" borderId="22" xfId="0" applyNumberFormat="1" applyFont="1" applyFill="1" applyBorder="1" applyAlignment="1">
      <alignment horizontal="right" vertical="center" wrapText="1"/>
    </xf>
    <xf numFmtId="0" fontId="17" fillId="33" borderId="0" xfId="0" applyFont="1" applyFill="1" applyBorder="1" applyAlignment="1">
      <alignment vertical="top" wrapText="1"/>
    </xf>
    <xf numFmtId="43" fontId="17" fillId="33" borderId="22" xfId="0" applyNumberFormat="1" applyFont="1" applyFill="1" applyBorder="1" applyAlignment="1">
      <alignment vertical="top" wrapText="1"/>
    </xf>
    <xf numFmtId="43" fontId="17" fillId="33" borderId="16" xfId="0" applyNumberFormat="1" applyFont="1" applyFill="1" applyBorder="1" applyAlignment="1">
      <alignment vertical="top" wrapText="1"/>
    </xf>
    <xf numFmtId="43" fontId="17" fillId="33" borderId="22" xfId="0" applyNumberFormat="1" applyFont="1" applyFill="1" applyBorder="1" applyAlignment="1" applyProtection="1">
      <alignment vertical="top" wrapText="1"/>
      <protection locked="0"/>
    </xf>
    <xf numFmtId="43" fontId="17" fillId="33" borderId="23" xfId="0" applyNumberFormat="1" applyFont="1" applyFill="1" applyBorder="1" applyAlignment="1" applyProtection="1">
      <alignment vertical="top" wrapText="1"/>
      <protection locked="0"/>
    </xf>
    <xf numFmtId="43" fontId="17" fillId="33" borderId="23" xfId="0" applyNumberFormat="1" applyFont="1" applyFill="1" applyBorder="1" applyAlignment="1">
      <alignment vertical="top" wrapText="1"/>
    </xf>
    <xf numFmtId="0" fontId="17" fillId="33" borderId="16" xfId="0" applyFont="1" applyFill="1" applyBorder="1" applyAlignment="1">
      <alignment vertical="top" wrapText="1"/>
    </xf>
    <xf numFmtId="0" fontId="17" fillId="33" borderId="16" xfId="0" applyFont="1" applyFill="1" applyBorder="1" applyAlignment="1" applyProtection="1">
      <alignment vertical="top" wrapText="1"/>
      <protection locked="0"/>
    </xf>
    <xf numFmtId="0" fontId="17" fillId="33" borderId="21" xfId="0" applyFont="1" applyFill="1" applyBorder="1" applyAlignment="1" applyProtection="1">
      <alignment vertical="top" wrapText="1"/>
      <protection locked="0"/>
    </xf>
    <xf numFmtId="177" fontId="17" fillId="33" borderId="16" xfId="0" applyNumberFormat="1" applyFont="1" applyFill="1" applyBorder="1" applyAlignment="1">
      <alignment vertical="top" wrapText="1"/>
    </xf>
    <xf numFmtId="177" fontId="17" fillId="33" borderId="22" xfId="0" applyNumberFormat="1" applyFont="1" applyFill="1" applyBorder="1" applyAlignment="1">
      <alignment vertical="top" wrapText="1"/>
    </xf>
    <xf numFmtId="177" fontId="17" fillId="33" borderId="16" xfId="0" applyNumberFormat="1" applyFont="1" applyFill="1" applyBorder="1" applyAlignment="1" applyProtection="1">
      <alignment vertical="top" wrapText="1"/>
      <protection locked="0"/>
    </xf>
    <xf numFmtId="177" fontId="17" fillId="33" borderId="22" xfId="0" applyNumberFormat="1" applyFont="1" applyFill="1" applyBorder="1" applyAlignment="1" applyProtection="1">
      <alignment vertical="top" wrapText="1"/>
      <protection locked="0"/>
    </xf>
    <xf numFmtId="0" fontId="17" fillId="33" borderId="18" xfId="0" applyFont="1" applyFill="1" applyBorder="1" applyAlignment="1">
      <alignment vertical="top" wrapText="1"/>
    </xf>
    <xf numFmtId="177" fontId="17" fillId="33" borderId="18" xfId="0" applyNumberFormat="1" applyFont="1" applyFill="1" applyBorder="1" applyAlignment="1" applyProtection="1">
      <alignment vertical="top" wrapText="1"/>
      <protection locked="0"/>
    </xf>
    <xf numFmtId="177" fontId="17" fillId="33" borderId="23" xfId="0" applyNumberFormat="1" applyFont="1" applyFill="1" applyBorder="1" applyAlignment="1" applyProtection="1">
      <alignment vertical="top" wrapText="1"/>
      <protection locked="0"/>
    </xf>
    <xf numFmtId="177" fontId="17" fillId="33" borderId="18" xfId="0" applyNumberFormat="1" applyFont="1" applyFill="1" applyBorder="1" applyAlignment="1">
      <alignment vertical="top" wrapText="1"/>
    </xf>
    <xf numFmtId="177" fontId="17" fillId="33" borderId="15" xfId="0" applyNumberFormat="1" applyFont="1" applyFill="1" applyBorder="1" applyAlignment="1">
      <alignment vertical="top" wrapText="1"/>
    </xf>
    <xf numFmtId="177" fontId="17" fillId="33" borderId="23" xfId="0" applyNumberFormat="1" applyFont="1" applyFill="1" applyBorder="1" applyAlignment="1">
      <alignment vertical="top" wrapText="1"/>
    </xf>
    <xf numFmtId="0" fontId="5" fillId="35" borderId="31" xfId="59" applyFont="1" applyFill="1" applyBorder="1" applyAlignment="1">
      <alignment vertical="center"/>
      <protection/>
    </xf>
    <xf numFmtId="10" fontId="0" fillId="34" borderId="15" xfId="0" applyNumberFormat="1" applyFont="1" applyFill="1" applyBorder="1" applyAlignment="1">
      <alignment horizontal="center"/>
    </xf>
    <xf numFmtId="43" fontId="0" fillId="33" borderId="16" xfId="0" applyNumberFormat="1" applyFont="1" applyFill="1" applyBorder="1" applyAlignment="1" applyProtection="1">
      <alignment horizontal="right"/>
      <protection locked="0"/>
    </xf>
    <xf numFmtId="43" fontId="0" fillId="33" borderId="18" xfId="0" applyNumberFormat="1" applyFont="1" applyFill="1" applyBorder="1" applyAlignment="1" applyProtection="1">
      <alignment horizontal="right"/>
      <protection locked="0"/>
    </xf>
    <xf numFmtId="43" fontId="17" fillId="38" borderId="21" xfId="0" applyNumberFormat="1" applyFont="1" applyFill="1" applyBorder="1" applyAlignment="1">
      <alignment horizontal="center" vertical="center" wrapText="1"/>
    </xf>
    <xf numFmtId="43" fontId="17" fillId="38" borderId="16" xfId="0" applyNumberFormat="1" applyFont="1" applyFill="1" applyBorder="1" applyAlignment="1">
      <alignment horizontal="center" vertical="center" wrapText="1"/>
    </xf>
    <xf numFmtId="0" fontId="39" fillId="0" borderId="0" xfId="0" applyNumberFormat="1" applyFont="1" applyBorder="1" applyAlignment="1">
      <alignment/>
    </xf>
    <xf numFmtId="43" fontId="39" fillId="38" borderId="0" xfId="0" applyNumberFormat="1" applyFont="1" applyFill="1" applyBorder="1" applyAlignment="1">
      <alignment/>
    </xf>
    <xf numFmtId="0" fontId="6" fillId="35" borderId="15" xfId="0" applyFont="1" applyFill="1" applyBorder="1" applyAlignment="1">
      <alignment horizontal="center" vertical="center" wrapText="1"/>
    </xf>
    <xf numFmtId="10" fontId="0" fillId="0" borderId="0" xfId="0" applyNumberFormat="1" applyFont="1" applyAlignment="1">
      <alignment/>
    </xf>
    <xf numFmtId="1" fontId="33" fillId="35" borderId="15" xfId="80" applyNumberFormat="1" applyFont="1" applyFill="1" applyBorder="1" applyAlignment="1" applyProtection="1">
      <alignment horizontal="center" vertical="center" wrapText="1"/>
      <protection/>
    </xf>
    <xf numFmtId="43" fontId="34" fillId="35" borderId="15" xfId="80" applyNumberFormat="1" applyFont="1" applyFill="1" applyBorder="1" applyAlignment="1" applyProtection="1">
      <alignment horizontal="left" vertical="center" indent="2"/>
      <protection/>
    </xf>
    <xf numFmtId="0" fontId="6" fillId="33" borderId="20" xfId="0" applyFont="1" applyFill="1" applyBorder="1" applyAlignment="1">
      <alignment vertical="top" wrapText="1"/>
    </xf>
    <xf numFmtId="0" fontId="6" fillId="33" borderId="18" xfId="0" applyFont="1" applyFill="1" applyBorder="1" applyAlignment="1">
      <alignment vertical="top" wrapText="1"/>
    </xf>
    <xf numFmtId="0" fontId="2" fillId="0" borderId="0" xfId="55" applyFont="1">
      <alignment/>
      <protection/>
    </xf>
    <xf numFmtId="0" fontId="2" fillId="0" borderId="0" xfId="55" applyFont="1" applyAlignment="1">
      <alignment horizontal="center" vertical="center"/>
      <protection/>
    </xf>
    <xf numFmtId="0" fontId="0" fillId="0" borderId="0" xfId="55" applyFont="1">
      <alignment/>
      <protection/>
    </xf>
    <xf numFmtId="0" fontId="0" fillId="0" borderId="39" xfId="55" applyFont="1" applyBorder="1" applyAlignment="1">
      <alignment horizontal="left" wrapText="1"/>
      <protection/>
    </xf>
    <xf numFmtId="0" fontId="5" fillId="34" borderId="40" xfId="55" applyFont="1" applyFill="1" applyBorder="1" applyAlignment="1">
      <alignment horizontal="center" vertical="top" wrapText="1"/>
      <protection/>
    </xf>
    <xf numFmtId="0" fontId="5" fillId="34" borderId="41" xfId="55" applyFont="1" applyFill="1" applyBorder="1" applyAlignment="1">
      <alignment horizontal="center" vertical="top" wrapText="1"/>
      <protection/>
    </xf>
    <xf numFmtId="0" fontId="5" fillId="34" borderId="40" xfId="55" applyFont="1" applyFill="1" applyBorder="1" applyAlignment="1">
      <alignment horizontal="center" wrapText="1"/>
      <protection/>
    </xf>
    <xf numFmtId="0" fontId="5" fillId="34" borderId="42" xfId="55" applyFont="1" applyFill="1" applyBorder="1" applyAlignment="1">
      <alignment horizontal="center" vertical="top" wrapText="1"/>
      <protection/>
    </xf>
    <xf numFmtId="0" fontId="5" fillId="34" borderId="43" xfId="55" applyFont="1" applyFill="1" applyBorder="1" applyAlignment="1">
      <alignment horizontal="center" vertical="top" wrapText="1"/>
      <protection/>
    </xf>
    <xf numFmtId="0" fontId="5" fillId="34" borderId="44" xfId="55" applyFont="1" applyFill="1" applyBorder="1" applyAlignment="1">
      <alignment horizontal="center" vertical="top" wrapText="1"/>
      <protection/>
    </xf>
    <xf numFmtId="0" fontId="5" fillId="34" borderId="45" xfId="55" applyFont="1" applyFill="1" applyBorder="1" applyAlignment="1">
      <alignment vertical="top" wrapText="1"/>
      <protection/>
    </xf>
    <xf numFmtId="0" fontId="5" fillId="34" borderId="45" xfId="55" applyFont="1" applyFill="1" applyBorder="1" applyAlignment="1">
      <alignment horizontal="center" vertical="top" wrapText="1"/>
      <protection/>
    </xf>
    <xf numFmtId="0" fontId="5" fillId="34" borderId="44" xfId="55" applyFont="1" applyFill="1" applyBorder="1" applyAlignment="1">
      <alignment horizontal="center" wrapText="1"/>
      <protection/>
    </xf>
    <xf numFmtId="0" fontId="0" fillId="0" borderId="16" xfId="55" applyFont="1" applyBorder="1" applyAlignment="1">
      <alignment wrapText="1"/>
      <protection/>
    </xf>
    <xf numFmtId="0" fontId="0" fillId="0" borderId="16" xfId="55" applyFont="1" applyBorder="1" applyAlignment="1">
      <alignment horizontal="left" wrapText="1" indent="1"/>
      <protection/>
    </xf>
    <xf numFmtId="0" fontId="0" fillId="0" borderId="16" xfId="55" applyFont="1" applyBorder="1" applyAlignment="1">
      <alignment horizontal="left" wrapText="1" indent="2"/>
      <protection/>
    </xf>
    <xf numFmtId="0" fontId="0" fillId="0" borderId="16" xfId="55" applyFont="1" applyBorder="1" applyAlignment="1">
      <alignment horizontal="left" indent="2"/>
      <protection/>
    </xf>
    <xf numFmtId="0" fontId="0" fillId="0" borderId="16" xfId="55" applyFont="1" applyBorder="1" applyAlignment="1">
      <alignment horizontal="left" indent="1"/>
      <protection/>
    </xf>
    <xf numFmtId="0" fontId="0" fillId="0" borderId="18" xfId="55" applyFont="1" applyBorder="1" applyAlignment="1">
      <alignment wrapText="1"/>
      <protection/>
    </xf>
    <xf numFmtId="44" fontId="32" fillId="0" borderId="0" xfId="0" applyNumberFormat="1" applyFont="1" applyFill="1" applyAlignment="1">
      <alignment/>
    </xf>
    <xf numFmtId="43" fontId="40" fillId="39" borderId="15" xfId="0" applyNumberFormat="1" applyFont="1" applyFill="1" applyBorder="1" applyAlignment="1">
      <alignment/>
    </xf>
    <xf numFmtId="10" fontId="0" fillId="0" borderId="15" xfId="55" applyNumberFormat="1" applyFont="1" applyBorder="1" applyAlignment="1">
      <alignment wrapText="1"/>
      <protection/>
    </xf>
    <xf numFmtId="0" fontId="5" fillId="34" borderId="15" xfId="55" applyFont="1" applyFill="1" applyBorder="1" applyAlignment="1">
      <alignment horizontal="center" wrapText="1"/>
      <protection/>
    </xf>
    <xf numFmtId="0" fontId="5" fillId="34" borderId="15" xfId="55" applyFont="1" applyFill="1" applyBorder="1" applyAlignment="1">
      <alignment horizontal="center" vertical="top" wrapText="1"/>
      <protection/>
    </xf>
    <xf numFmtId="0" fontId="17" fillId="34" borderId="40" xfId="0" applyFont="1" applyFill="1" applyBorder="1" applyAlignment="1">
      <alignment horizontal="center" vertical="top" wrapText="1"/>
    </xf>
    <xf numFmtId="0" fontId="17" fillId="34" borderId="41" xfId="0" applyFont="1" applyFill="1" applyBorder="1" applyAlignment="1">
      <alignment horizontal="center" vertical="top" wrapText="1"/>
    </xf>
    <xf numFmtId="0" fontId="17" fillId="34" borderId="40" xfId="0" applyFont="1" applyFill="1" applyBorder="1" applyAlignment="1">
      <alignment horizontal="center" wrapText="1"/>
    </xf>
    <xf numFmtId="0" fontId="17" fillId="34" borderId="42" xfId="0" applyFont="1" applyFill="1" applyBorder="1" applyAlignment="1">
      <alignment horizontal="center" vertical="top" wrapText="1"/>
    </xf>
    <xf numFmtId="0" fontId="17" fillId="34" borderId="43" xfId="0" applyFont="1" applyFill="1" applyBorder="1" applyAlignment="1">
      <alignment horizontal="center" vertical="top" wrapText="1"/>
    </xf>
    <xf numFmtId="0" fontId="17" fillId="34" borderId="42" xfId="0" applyFont="1" applyFill="1" applyBorder="1" applyAlignment="1">
      <alignment horizontal="center" wrapText="1"/>
    </xf>
    <xf numFmtId="0" fontId="17" fillId="34" borderId="46" xfId="0" applyFont="1" applyFill="1" applyBorder="1" applyAlignment="1">
      <alignment horizontal="center" vertical="top" wrapText="1"/>
    </xf>
    <xf numFmtId="0" fontId="17" fillId="34" borderId="45" xfId="0" applyFont="1" applyFill="1" applyBorder="1" applyAlignment="1">
      <alignment vertical="top" wrapText="1"/>
    </xf>
    <xf numFmtId="0" fontId="17" fillId="34" borderId="45" xfId="0" applyFont="1" applyFill="1" applyBorder="1" applyAlignment="1">
      <alignment horizontal="center" vertical="top" wrapText="1"/>
    </xf>
    <xf numFmtId="0" fontId="17" fillId="34" borderId="44" xfId="0" applyFont="1" applyFill="1" applyBorder="1" applyAlignment="1">
      <alignment horizontal="center" wrapText="1"/>
    </xf>
    <xf numFmtId="0" fontId="17" fillId="34" borderId="0" xfId="0" applyFont="1" applyFill="1" applyBorder="1" applyAlignment="1">
      <alignment wrapText="1"/>
    </xf>
    <xf numFmtId="43" fontId="17" fillId="40" borderId="21" xfId="0" applyNumberFormat="1" applyFont="1" applyFill="1" applyBorder="1" applyAlignment="1">
      <alignment wrapText="1"/>
    </xf>
    <xf numFmtId="4" fontId="17" fillId="40" borderId="21" xfId="0" applyNumberFormat="1" applyFont="1" applyFill="1" applyBorder="1" applyAlignment="1">
      <alignment wrapText="1"/>
    </xf>
    <xf numFmtId="43" fontId="17" fillId="40" borderId="22" xfId="0" applyNumberFormat="1" applyFont="1" applyFill="1" applyBorder="1" applyAlignment="1">
      <alignment wrapText="1"/>
    </xf>
    <xf numFmtId="4" fontId="17" fillId="40" borderId="22" xfId="0" applyNumberFormat="1" applyFont="1" applyFill="1" applyBorder="1" applyAlignment="1">
      <alignment wrapText="1"/>
    </xf>
    <xf numFmtId="43" fontId="17" fillId="40" borderId="23" xfId="0" applyNumberFormat="1" applyFont="1" applyFill="1" applyBorder="1" applyAlignment="1">
      <alignment wrapText="1"/>
    </xf>
    <xf numFmtId="4" fontId="17" fillId="40" borderId="23" xfId="0" applyNumberFormat="1" applyFont="1" applyFill="1" applyBorder="1" applyAlignment="1">
      <alignment wrapText="1"/>
    </xf>
    <xf numFmtId="0" fontId="5" fillId="0" borderId="0" xfId="0" applyFont="1" applyFill="1" applyBorder="1" applyAlignment="1">
      <alignment horizontal="left"/>
    </xf>
    <xf numFmtId="43" fontId="0" fillId="0" borderId="0" xfId="0" applyNumberFormat="1" applyFont="1" applyAlignment="1">
      <alignment/>
    </xf>
    <xf numFmtId="0" fontId="54" fillId="0" borderId="0" xfId="0" applyFont="1" applyAlignment="1">
      <alignment/>
    </xf>
    <xf numFmtId="49" fontId="54" fillId="0" borderId="0" xfId="0" applyNumberFormat="1" applyFont="1" applyAlignment="1">
      <alignment/>
    </xf>
    <xf numFmtId="0" fontId="54" fillId="0" borderId="0" xfId="0" applyFont="1" applyAlignment="1">
      <alignment vertical="center"/>
    </xf>
    <xf numFmtId="0" fontId="55" fillId="34" borderId="18" xfId="0" applyFont="1" applyFill="1" applyBorder="1" applyAlignment="1">
      <alignment vertical="center"/>
    </xf>
    <xf numFmtId="0" fontId="55" fillId="34" borderId="15" xfId="0" applyFont="1" applyFill="1" applyBorder="1" applyAlignment="1">
      <alignment horizontal="center" vertical="center" wrapText="1"/>
    </xf>
    <xf numFmtId="0" fontId="54" fillId="0" borderId="0" xfId="0" applyFont="1" applyAlignment="1">
      <alignment horizontal="left" indent="1"/>
    </xf>
    <xf numFmtId="0" fontId="54" fillId="0" borderId="0" xfId="0" applyFont="1" applyAlignment="1">
      <alignment wrapText="1"/>
    </xf>
    <xf numFmtId="0" fontId="54" fillId="0" borderId="0" xfId="0" applyFont="1" applyAlignment="1">
      <alignment horizontal="left" indent="2"/>
    </xf>
    <xf numFmtId="0" fontId="54" fillId="0" borderId="0" xfId="0" applyFont="1" applyAlignment="1">
      <alignment horizontal="left" indent="3"/>
    </xf>
    <xf numFmtId="0" fontId="54" fillId="0" borderId="0" xfId="55" applyFont="1" applyAlignment="1">
      <alignment horizontal="left" wrapText="1" indent="2"/>
      <protection/>
    </xf>
    <xf numFmtId="0" fontId="55" fillId="34" borderId="19" xfId="0" applyFont="1" applyFill="1" applyBorder="1" applyAlignment="1">
      <alignment/>
    </xf>
    <xf numFmtId="37" fontId="55" fillId="34" borderId="31" xfId="0" applyNumberFormat="1" applyFont="1" applyFill="1" applyBorder="1" applyAlignment="1">
      <alignment vertical="center"/>
    </xf>
    <xf numFmtId="0" fontId="55" fillId="34" borderId="47" xfId="0" applyFont="1" applyFill="1" applyBorder="1" applyAlignment="1">
      <alignment horizontal="center" vertical="center" wrapText="1"/>
    </xf>
    <xf numFmtId="49" fontId="54" fillId="0" borderId="0" xfId="0" applyNumberFormat="1" applyFont="1" applyAlignment="1">
      <alignment horizontal="left" vertical="center" indent="2"/>
    </xf>
    <xf numFmtId="49" fontId="54" fillId="0" borderId="0" xfId="0" applyNumberFormat="1" applyFont="1" applyAlignment="1">
      <alignment horizontal="left" vertical="center" indent="1"/>
    </xf>
    <xf numFmtId="49" fontId="55" fillId="34" borderId="19" xfId="0" applyNumberFormat="1" applyFont="1" applyFill="1" applyBorder="1" applyAlignment="1">
      <alignment vertical="center"/>
    </xf>
    <xf numFmtId="49" fontId="54" fillId="0" borderId="19" xfId="0" applyNumberFormat="1" applyFont="1" applyBorder="1" applyAlignment="1">
      <alignment vertical="center"/>
    </xf>
    <xf numFmtId="37" fontId="55" fillId="0" borderId="19" xfId="0" applyNumberFormat="1" applyFont="1" applyBorder="1" applyAlignment="1">
      <alignment/>
    </xf>
    <xf numFmtId="0" fontId="54" fillId="0" borderId="20" xfId="0" applyFont="1" applyBorder="1" applyAlignment="1">
      <alignment vertical="center" wrapText="1"/>
    </xf>
    <xf numFmtId="49" fontId="55" fillId="34" borderId="31" xfId="0" applyNumberFormat="1" applyFont="1" applyFill="1" applyBorder="1" applyAlignment="1">
      <alignment horizontal="justify" vertical="center"/>
    </xf>
    <xf numFmtId="49" fontId="55" fillId="0" borderId="0" xfId="0" applyNumberFormat="1" applyFont="1" applyAlignment="1">
      <alignment horizontal="justify" vertical="center"/>
    </xf>
    <xf numFmtId="37" fontId="54" fillId="0" borderId="0" xfId="0" applyNumberFormat="1" applyFont="1" applyAlignment="1">
      <alignment horizontal="center"/>
    </xf>
    <xf numFmtId="0" fontId="54" fillId="0" borderId="0" xfId="0" applyFont="1" applyAlignment="1">
      <alignment horizontal="center" vertical="center" wrapText="1"/>
    </xf>
    <xf numFmtId="0" fontId="55" fillId="34" borderId="31" xfId="0" applyFont="1" applyFill="1" applyBorder="1" applyAlignment="1">
      <alignment vertical="center" wrapText="1"/>
    </xf>
    <xf numFmtId="0" fontId="55" fillId="0" borderId="0" xfId="0" applyFont="1" applyAlignment="1">
      <alignment horizontal="left" wrapText="1"/>
    </xf>
    <xf numFmtId="0" fontId="54" fillId="0" borderId="0" xfId="0" applyFont="1" applyAlignment="1">
      <alignment horizontal="left"/>
    </xf>
    <xf numFmtId="0" fontId="54" fillId="0" borderId="18" xfId="0" applyFont="1" applyBorder="1" applyAlignment="1">
      <alignment vertical="top" wrapText="1"/>
    </xf>
    <xf numFmtId="0" fontId="54" fillId="0" borderId="0" xfId="0" applyFont="1" applyAlignment="1">
      <alignment vertical="top" wrapText="1"/>
    </xf>
    <xf numFmtId="0" fontId="54" fillId="0" borderId="0" xfId="0" applyFont="1" applyAlignment="1">
      <alignment vertical="center" wrapText="1"/>
    </xf>
    <xf numFmtId="0" fontId="55" fillId="34" borderId="47" xfId="0" applyFont="1" applyFill="1" applyBorder="1" applyAlignment="1">
      <alignment horizontal="center" wrapText="1"/>
    </xf>
    <xf numFmtId="37" fontId="54" fillId="0" borderId="0" xfId="0" applyNumberFormat="1" applyFont="1" applyAlignment="1">
      <alignment vertical="center"/>
    </xf>
    <xf numFmtId="37" fontId="54" fillId="0" borderId="0" xfId="0" applyNumberFormat="1" applyFont="1" applyAlignment="1">
      <alignment/>
    </xf>
    <xf numFmtId="0" fontId="55" fillId="34" borderId="21" xfId="0" applyFont="1" applyFill="1" applyBorder="1" applyAlignment="1">
      <alignment horizontal="center" vertical="center"/>
    </xf>
    <xf numFmtId="0" fontId="54" fillId="0" borderId="0" xfId="0" applyFont="1" applyAlignment="1">
      <alignment horizontal="left" vertical="top" wrapText="1"/>
    </xf>
    <xf numFmtId="0" fontId="54" fillId="0" borderId="48" xfId="0" applyFont="1" applyBorder="1" applyAlignment="1">
      <alignment horizontal="center" vertical="top" wrapText="1"/>
    </xf>
    <xf numFmtId="0" fontId="54" fillId="0" borderId="0" xfId="0" applyFont="1" applyAlignment="1">
      <alignment horizontal="right" vertical="top" wrapText="1"/>
    </xf>
    <xf numFmtId="0" fontId="54" fillId="0" borderId="16" xfId="0" applyFont="1" applyBorder="1" applyAlignment="1">
      <alignment horizontal="left" vertical="top" wrapText="1"/>
    </xf>
    <xf numFmtId="0" fontId="54" fillId="0" borderId="49" xfId="0" applyFont="1" applyBorder="1" applyAlignment="1">
      <alignment horizontal="center" vertical="top" wrapText="1"/>
    </xf>
    <xf numFmtId="0" fontId="54" fillId="0" borderId="18" xfId="0" applyFont="1" applyBorder="1" applyAlignment="1">
      <alignment horizontal="justify" vertical="top" wrapText="1"/>
    </xf>
    <xf numFmtId="0" fontId="54" fillId="0" borderId="0" xfId="0" applyFont="1" applyAlignment="1">
      <alignment horizontal="center" vertical="top" wrapText="1"/>
    </xf>
    <xf numFmtId="0" fontId="55" fillId="34" borderId="50" xfId="0" applyFont="1" applyFill="1" applyBorder="1" applyAlignment="1">
      <alignment vertical="center" wrapText="1"/>
    </xf>
    <xf numFmtId="0" fontId="55" fillId="34" borderId="48" xfId="0" applyFont="1" applyFill="1" applyBorder="1" applyAlignment="1">
      <alignment horizontal="center" vertical="center" wrapText="1"/>
    </xf>
    <xf numFmtId="0" fontId="54" fillId="0" borderId="50" xfId="0" applyFont="1" applyBorder="1" applyAlignment="1">
      <alignment wrapText="1"/>
    </xf>
    <xf numFmtId="0" fontId="54" fillId="0" borderId="18" xfId="0" applyFont="1" applyBorder="1" applyAlignment="1">
      <alignment wrapText="1"/>
    </xf>
    <xf numFmtId="0" fontId="54" fillId="0" borderId="0" xfId="0" applyFont="1" applyAlignment="1">
      <alignment vertical="top"/>
    </xf>
    <xf numFmtId="37" fontId="54" fillId="0" borderId="0" xfId="0" applyNumberFormat="1" applyFont="1" applyAlignment="1">
      <alignment vertical="center" wrapText="1"/>
    </xf>
    <xf numFmtId="0" fontId="54" fillId="34" borderId="47" xfId="0" applyFont="1" applyFill="1" applyBorder="1" applyAlignment="1">
      <alignment horizontal="center" vertical="center"/>
    </xf>
    <xf numFmtId="0" fontId="55" fillId="34" borderId="47" xfId="0" applyFont="1" applyFill="1" applyBorder="1" applyAlignment="1">
      <alignment horizontal="center" vertical="center"/>
    </xf>
    <xf numFmtId="0" fontId="54" fillId="0" borderId="48" xfId="0" applyFont="1" applyBorder="1" applyAlignment="1">
      <alignment horizontal="right" vertical="top" wrapText="1"/>
    </xf>
    <xf numFmtId="0" fontId="54" fillId="0" borderId="51" xfId="0" applyFont="1" applyBorder="1" applyAlignment="1">
      <alignment horizontal="right" vertical="top" wrapText="1"/>
    </xf>
    <xf numFmtId="0" fontId="54" fillId="0" borderId="0" xfId="0" applyFont="1" applyBorder="1" applyAlignment="1">
      <alignment horizontal="left" vertical="top" wrapText="1"/>
    </xf>
    <xf numFmtId="0" fontId="54" fillId="0" borderId="0" xfId="0" applyFont="1" applyBorder="1" applyAlignment="1">
      <alignment horizontal="center" vertical="top" wrapText="1"/>
    </xf>
    <xf numFmtId="0" fontId="54" fillId="0" borderId="0" xfId="0" applyFont="1" applyBorder="1" applyAlignment="1">
      <alignment horizontal="right" vertical="top" wrapText="1"/>
    </xf>
    <xf numFmtId="0" fontId="54" fillId="0" borderId="0" xfId="0" applyFont="1" applyBorder="1" applyAlignment="1">
      <alignment/>
    </xf>
    <xf numFmtId="0" fontId="54" fillId="0" borderId="0" xfId="0" applyFont="1" applyFill="1" applyBorder="1" applyAlignment="1">
      <alignment vertical="center" wrapText="1"/>
    </xf>
    <xf numFmtId="0" fontId="54" fillId="0" borderId="49" xfId="0" applyFont="1" applyBorder="1" applyAlignment="1">
      <alignment horizontal="right" vertical="top" wrapText="1"/>
    </xf>
    <xf numFmtId="49" fontId="55" fillId="34" borderId="31" xfId="55" applyNumberFormat="1" applyFont="1" applyFill="1" applyBorder="1" applyAlignment="1">
      <alignment horizontal="justify" vertical="center"/>
      <protection/>
    </xf>
    <xf numFmtId="0" fontId="54" fillId="0" borderId="0" xfId="55" applyFont="1" applyAlignment="1">
      <alignment wrapText="1"/>
      <protection/>
    </xf>
    <xf numFmtId="0" fontId="54" fillId="0" borderId="0" xfId="55" applyFont="1">
      <alignment/>
      <protection/>
    </xf>
    <xf numFmtId="43" fontId="0" fillId="0" borderId="15" xfId="55" applyNumberFormat="1" applyFont="1" applyBorder="1" applyAlignment="1">
      <alignment wrapText="1"/>
      <protection/>
    </xf>
    <xf numFmtId="10" fontId="6" fillId="35" borderId="15" xfId="0" applyNumberFormat="1" applyFont="1" applyFill="1" applyBorder="1" applyAlignment="1">
      <alignment/>
    </xf>
    <xf numFmtId="177" fontId="44" fillId="0" borderId="16" xfId="0" applyNumberFormat="1" applyFont="1" applyFill="1" applyBorder="1" applyAlignment="1">
      <alignment wrapText="1"/>
    </xf>
    <xf numFmtId="43" fontId="33" fillId="0" borderId="15" xfId="0" applyNumberFormat="1" applyFont="1" applyFill="1" applyBorder="1" applyAlignment="1" applyProtection="1">
      <alignment vertical="center"/>
      <protection/>
    </xf>
    <xf numFmtId="43" fontId="34" fillId="0" borderId="15" xfId="0" applyNumberFormat="1" applyFont="1" applyFill="1" applyBorder="1" applyAlignment="1" applyProtection="1">
      <alignment horizontal="left" vertical="center" indent="1"/>
      <protection/>
    </xf>
    <xf numFmtId="206" fontId="0" fillId="35" borderId="15" xfId="59" applyNumberFormat="1" applyFont="1" applyFill="1" applyBorder="1" applyAlignment="1">
      <alignment horizontal="left" vertical="center"/>
      <protection/>
    </xf>
    <xf numFmtId="0" fontId="2" fillId="35" borderId="20" xfId="0" applyFont="1" applyFill="1" applyBorder="1" applyAlignment="1">
      <alignment/>
    </xf>
    <xf numFmtId="206" fontId="5" fillId="35" borderId="15" xfId="59" applyNumberFormat="1" applyFont="1" applyFill="1" applyBorder="1" applyAlignment="1">
      <alignment horizontal="left" vertical="center"/>
      <protection/>
    </xf>
    <xf numFmtId="206" fontId="0" fillId="35" borderId="15" xfId="59" applyNumberFormat="1" applyFont="1" applyFill="1" applyBorder="1" applyAlignment="1">
      <alignment horizontal="left" vertical="center" wrapText="1"/>
      <protection/>
    </xf>
    <xf numFmtId="0" fontId="0" fillId="35" borderId="0" xfId="0" applyFont="1" applyFill="1" applyBorder="1" applyAlignment="1">
      <alignment horizontal="left"/>
    </xf>
    <xf numFmtId="38" fontId="19" fillId="0" borderId="0" xfId="0" applyNumberFormat="1" applyFont="1" applyAlignment="1" applyProtection="1">
      <alignment horizontal="left"/>
      <protection locked="0"/>
    </xf>
    <xf numFmtId="38" fontId="4" fillId="0" borderId="0" xfId="0" applyNumberFormat="1" applyFont="1" applyAlignment="1" applyProtection="1">
      <alignment horizontal="left"/>
      <protection locked="0"/>
    </xf>
    <xf numFmtId="38" fontId="4" fillId="0" borderId="0" xfId="0" applyNumberFormat="1" applyFont="1" applyBorder="1" applyAlignment="1" applyProtection="1">
      <alignment horizontal="left"/>
      <protection locked="0"/>
    </xf>
    <xf numFmtId="38" fontId="4" fillId="0" borderId="0" xfId="0" applyNumberFormat="1" applyFont="1" applyAlignment="1">
      <alignment horizontal="left"/>
    </xf>
    <xf numFmtId="0" fontId="53" fillId="0" borderId="0" xfId="0" applyFont="1" applyBorder="1" applyAlignment="1" applyProtection="1">
      <alignment horizontal="left"/>
      <protection locked="0"/>
    </xf>
    <xf numFmtId="0" fontId="2" fillId="33" borderId="0" xfId="0" applyFont="1" applyFill="1" applyBorder="1" applyAlignment="1" applyProtection="1">
      <alignment horizontal="left"/>
      <protection locked="0"/>
    </xf>
    <xf numFmtId="0" fontId="0" fillId="35" borderId="20" xfId="0" applyFont="1" applyFill="1" applyBorder="1" applyAlignment="1">
      <alignment horizontal="left"/>
    </xf>
    <xf numFmtId="0" fontId="0" fillId="0" borderId="0" xfId="0" applyFont="1" applyFill="1" applyAlignment="1">
      <alignment horizontal="left"/>
    </xf>
    <xf numFmtId="0" fontId="19" fillId="33" borderId="0" xfId="0" applyNumberFormat="1" applyFont="1" applyFill="1" applyBorder="1" applyAlignment="1" applyProtection="1">
      <alignment horizontal="left" vertical="center"/>
      <protection locked="0"/>
    </xf>
    <xf numFmtId="206" fontId="0" fillId="35" borderId="23" xfId="59" applyNumberFormat="1" applyFont="1" applyFill="1" applyBorder="1" applyAlignment="1">
      <alignment horizontal="left" vertical="center"/>
      <protection/>
    </xf>
    <xf numFmtId="206" fontId="5" fillId="35" borderId="23" xfId="59" applyNumberFormat="1" applyFont="1" applyFill="1" applyBorder="1" applyAlignment="1">
      <alignment horizontal="left" vertical="center"/>
      <protection/>
    </xf>
    <xf numFmtId="206" fontId="0" fillId="37" borderId="15" xfId="59" applyNumberFormat="1" applyFont="1" applyFill="1" applyBorder="1" applyAlignment="1">
      <alignment horizontal="left" vertical="center"/>
      <protection/>
    </xf>
    <xf numFmtId="189" fontId="5" fillId="35" borderId="16" xfId="47" applyFont="1" applyFill="1" applyBorder="1" applyAlignment="1">
      <alignment horizontal="center" vertical="center"/>
    </xf>
    <xf numFmtId="190" fontId="5" fillId="35" borderId="38" xfId="0" applyNumberFormat="1" applyFont="1" applyFill="1" applyBorder="1" applyAlignment="1">
      <alignment horizontal="center" vertical="center"/>
    </xf>
    <xf numFmtId="206" fontId="5" fillId="37" borderId="15" xfId="59" applyNumberFormat="1" applyFont="1" applyFill="1" applyBorder="1" applyAlignment="1">
      <alignment horizontal="left" vertical="center"/>
      <protection/>
    </xf>
    <xf numFmtId="0" fontId="5" fillId="37" borderId="0" xfId="0" applyFont="1" applyFill="1" applyAlignment="1">
      <alignment/>
    </xf>
    <xf numFmtId="0" fontId="1" fillId="35" borderId="15" xfId="0" applyFont="1" applyFill="1" applyBorder="1" applyAlignment="1">
      <alignment/>
    </xf>
    <xf numFmtId="0" fontId="2" fillId="35" borderId="15" xfId="0" applyFont="1" applyFill="1" applyBorder="1" applyAlignment="1">
      <alignment/>
    </xf>
    <xf numFmtId="49" fontId="33" fillId="36" borderId="19" xfId="0" applyNumberFormat="1" applyFont="1" applyFill="1" applyBorder="1" applyAlignment="1">
      <alignment vertical="center"/>
    </xf>
    <xf numFmtId="49" fontId="34" fillId="36" borderId="19" xfId="0" applyNumberFormat="1" applyFont="1" applyFill="1" applyBorder="1" applyAlignment="1">
      <alignment horizontal="left" vertical="center" wrapText="1"/>
    </xf>
    <xf numFmtId="43" fontId="0" fillId="0" borderId="15" xfId="0" applyNumberFormat="1" applyFont="1" applyBorder="1" applyAlignment="1">
      <alignment/>
    </xf>
    <xf numFmtId="177" fontId="2" fillId="0" borderId="15" xfId="0" applyNumberFormat="1" applyFont="1" applyBorder="1" applyAlignment="1">
      <alignment/>
    </xf>
    <xf numFmtId="177" fontId="0" fillId="0" borderId="15" xfId="0" applyNumberFormat="1" applyFont="1" applyBorder="1" applyAlignment="1">
      <alignment/>
    </xf>
    <xf numFmtId="43" fontId="34" fillId="0" borderId="15" xfId="0" applyNumberFormat="1" applyFont="1" applyBorder="1" applyAlignment="1">
      <alignment/>
    </xf>
    <xf numFmtId="177" fontId="2" fillId="33" borderId="15" xfId="0" applyNumberFormat="1" applyFont="1" applyFill="1" applyBorder="1" applyAlignment="1">
      <alignment/>
    </xf>
    <xf numFmtId="0" fontId="0" fillId="33" borderId="0" xfId="59" applyFont="1" applyFill="1" applyBorder="1" applyAlignment="1">
      <alignment vertical="center"/>
      <protection/>
    </xf>
    <xf numFmtId="43" fontId="0" fillId="0" borderId="16" xfId="0" applyNumberFormat="1" applyFont="1" applyBorder="1" applyAlignment="1">
      <alignment horizontal="right" wrapText="1"/>
    </xf>
    <xf numFmtId="177" fontId="44" fillId="0" borderId="18" xfId="0" applyNumberFormat="1" applyFont="1" applyBorder="1" applyAlignment="1" applyProtection="1">
      <alignment wrapText="1"/>
      <protection locked="0"/>
    </xf>
    <xf numFmtId="0" fontId="54" fillId="0" borderId="48" xfId="0" applyFont="1" applyBorder="1" applyAlignment="1">
      <alignment horizontal="center"/>
    </xf>
    <xf numFmtId="4" fontId="54" fillId="0" borderId="48" xfId="0" applyNumberFormat="1" applyFont="1" applyBorder="1" applyAlignment="1">
      <alignment horizontal="center"/>
    </xf>
    <xf numFmtId="4" fontId="54" fillId="34" borderId="15" xfId="0" applyNumberFormat="1" applyFont="1" applyFill="1" applyBorder="1" applyAlignment="1">
      <alignment wrapText="1"/>
    </xf>
    <xf numFmtId="4" fontId="54" fillId="34" borderId="47" xfId="0" applyNumberFormat="1" applyFont="1" applyFill="1" applyBorder="1" applyAlignment="1">
      <alignment vertical="center" wrapText="1"/>
    </xf>
    <xf numFmtId="4" fontId="54" fillId="34" borderId="47" xfId="0" applyNumberFormat="1" applyFont="1" applyFill="1" applyBorder="1" applyAlignment="1">
      <alignment horizontal="center" vertical="center" wrapText="1"/>
    </xf>
    <xf numFmtId="4" fontId="54" fillId="0" borderId="15" xfId="0" applyNumberFormat="1" applyFont="1" applyBorder="1" applyAlignment="1">
      <alignment horizontal="center"/>
    </xf>
    <xf numFmtId="0" fontId="54" fillId="0" borderId="15" xfId="0" applyFont="1" applyBorder="1" applyAlignment="1">
      <alignment horizontal="right" vertical="top" wrapText="1"/>
    </xf>
    <xf numFmtId="0" fontId="54" fillId="0" borderId="15" xfId="0" applyFont="1" applyBorder="1" applyAlignment="1">
      <alignment wrapText="1"/>
    </xf>
    <xf numFmtId="43" fontId="17" fillId="0" borderId="15" xfId="0" applyNumberFormat="1" applyFont="1" applyFill="1" applyBorder="1" applyAlignment="1" applyProtection="1">
      <alignment/>
      <protection locked="0"/>
    </xf>
    <xf numFmtId="43" fontId="54" fillId="0" borderId="15" xfId="0" applyNumberFormat="1" applyFont="1" applyBorder="1" applyAlignment="1">
      <alignment/>
    </xf>
    <xf numFmtId="43" fontId="17" fillId="0" borderId="15" xfId="55" applyNumberFormat="1" applyFont="1" applyFill="1" applyBorder="1" applyAlignment="1">
      <alignment horizontal="justify" vertical="top" wrapText="1"/>
      <protection/>
    </xf>
    <xf numFmtId="0" fontId="0" fillId="0" borderId="15" xfId="0" applyFont="1" applyFill="1" applyBorder="1" applyAlignment="1">
      <alignment horizontal="justify" vertical="top" wrapText="1"/>
    </xf>
    <xf numFmtId="43" fontId="34" fillId="0" borderId="15" xfId="55" applyNumberFormat="1" applyFont="1" applyBorder="1" applyAlignment="1">
      <alignment wrapText="1"/>
      <protection/>
    </xf>
    <xf numFmtId="0" fontId="34" fillId="0" borderId="16" xfId="55" applyFont="1" applyBorder="1" applyAlignment="1">
      <alignment horizontal="left" indent="1"/>
      <protection/>
    </xf>
    <xf numFmtId="43" fontId="17" fillId="0" borderId="15" xfId="55" applyNumberFormat="1" applyFont="1" applyBorder="1" applyAlignment="1">
      <alignment horizontal="center" vertical="center" wrapText="1"/>
      <protection/>
    </xf>
    <xf numFmtId="0" fontId="17" fillId="0" borderId="15" xfId="55" applyFont="1" applyBorder="1" applyAlignment="1">
      <alignment horizontal="justify" vertical="top" wrapText="1"/>
      <protection/>
    </xf>
    <xf numFmtId="43" fontId="17" fillId="0" borderId="15" xfId="55" applyNumberFormat="1" applyFont="1" applyBorder="1" applyAlignment="1">
      <alignment horizontal="justify" vertical="center" wrapText="1"/>
      <protection/>
    </xf>
    <xf numFmtId="43" fontId="17" fillId="0" borderId="15" xfId="55" applyNumberFormat="1" applyFont="1" applyBorder="1" applyAlignment="1">
      <alignment horizontal="justify" vertical="top" wrapText="1"/>
      <protection/>
    </xf>
    <xf numFmtId="0" fontId="5" fillId="0" borderId="50" xfId="55" applyFont="1" applyBorder="1" applyAlignment="1">
      <alignment horizontal="left"/>
      <protection/>
    </xf>
    <xf numFmtId="0" fontId="0" fillId="0" borderId="0" xfId="57">
      <alignment/>
      <protection/>
    </xf>
    <xf numFmtId="0" fontId="0" fillId="0" borderId="0" xfId="55">
      <alignment/>
      <protection/>
    </xf>
    <xf numFmtId="0" fontId="20" fillId="0" borderId="35" xfId="57" applyFont="1" applyBorder="1">
      <alignment/>
      <protection/>
    </xf>
    <xf numFmtId="0" fontId="0" fillId="0" borderId="34" xfId="57" applyBorder="1">
      <alignment/>
      <protection/>
    </xf>
    <xf numFmtId="0" fontId="0" fillId="0" borderId="52" xfId="57" applyBorder="1">
      <alignment/>
      <protection/>
    </xf>
    <xf numFmtId="0" fontId="21" fillId="42" borderId="53" xfId="57" applyFont="1" applyFill="1" applyBorder="1" applyAlignment="1">
      <alignment horizontal="center" vertical="top" wrapText="1"/>
      <protection/>
    </xf>
    <xf numFmtId="0" fontId="21" fillId="42" borderId="54" xfId="57" applyFont="1" applyFill="1" applyBorder="1" applyAlignment="1">
      <alignment horizontal="center" vertical="top" wrapText="1"/>
      <protection/>
    </xf>
    <xf numFmtId="0" fontId="0" fillId="42" borderId="54" xfId="57" applyFill="1" applyBorder="1" applyAlignment="1">
      <alignment vertical="top" wrapText="1"/>
      <protection/>
    </xf>
    <xf numFmtId="0" fontId="20" fillId="0" borderId="15" xfId="55" applyFont="1" applyBorder="1" applyAlignment="1">
      <alignment vertical="top" wrapText="1"/>
      <protection/>
    </xf>
    <xf numFmtId="0" fontId="15" fillId="0" borderId="15" xfId="55" applyFont="1" applyBorder="1" applyAlignment="1">
      <alignment vertical="top" wrapText="1"/>
      <protection/>
    </xf>
    <xf numFmtId="0" fontId="15" fillId="0" borderId="15" xfId="57" applyFont="1" applyBorder="1">
      <alignment/>
      <protection/>
    </xf>
    <xf numFmtId="169" fontId="0" fillId="0" borderId="0" xfId="55" applyNumberFormat="1">
      <alignment/>
      <protection/>
    </xf>
    <xf numFmtId="0" fontId="15" fillId="0" borderId="15" xfId="55" applyFont="1" applyBorder="1">
      <alignment/>
      <protection/>
    </xf>
    <xf numFmtId="0" fontId="15" fillId="33" borderId="15" xfId="57" applyFont="1" applyFill="1" applyBorder="1">
      <alignment/>
      <protection/>
    </xf>
    <xf numFmtId="0" fontId="0" fillId="0" borderId="15" xfId="55" applyBorder="1">
      <alignment/>
      <protection/>
    </xf>
    <xf numFmtId="0" fontId="15" fillId="0" borderId="0" xfId="57" applyFont="1">
      <alignment/>
      <protection/>
    </xf>
    <xf numFmtId="0" fontId="0" fillId="0" borderId="0" xfId="57" applyAlignment="1">
      <alignment vertical="center"/>
      <protection/>
    </xf>
    <xf numFmtId="0" fontId="0" fillId="0" borderId="0" xfId="57" applyAlignment="1">
      <alignment horizontal="center" vertical="center" wrapText="1"/>
      <protection/>
    </xf>
    <xf numFmtId="218" fontId="0" fillId="0" borderId="55" xfId="57" applyNumberFormat="1" applyBorder="1" applyAlignment="1">
      <alignment wrapText="1"/>
      <protection/>
    </xf>
    <xf numFmtId="219" fontId="0" fillId="0" borderId="55" xfId="57" applyNumberFormat="1" applyBorder="1" applyAlignment="1">
      <alignment wrapText="1"/>
      <protection/>
    </xf>
    <xf numFmtId="10" fontId="0" fillId="0" borderId="55" xfId="57" applyNumberFormat="1" applyBorder="1" applyAlignment="1">
      <alignment horizontal="center" wrapText="1"/>
      <protection/>
    </xf>
    <xf numFmtId="219" fontId="0" fillId="0" borderId="56" xfId="57" applyNumberFormat="1" applyBorder="1" applyAlignment="1">
      <alignment horizontal="center" wrapText="1"/>
      <protection/>
    </xf>
    <xf numFmtId="0" fontId="0" fillId="0" borderId="36" xfId="57" applyBorder="1">
      <alignment/>
      <protection/>
    </xf>
    <xf numFmtId="0" fontId="0" fillId="0" borderId="55" xfId="57" applyBorder="1" applyAlignment="1">
      <alignment horizontal="center" wrapText="1"/>
      <protection/>
    </xf>
    <xf numFmtId="219" fontId="0" fillId="0" borderId="55" xfId="57" applyNumberFormat="1" applyBorder="1" applyAlignment="1">
      <alignment horizontal="right" wrapText="1"/>
      <protection/>
    </xf>
    <xf numFmtId="219" fontId="0" fillId="0" borderId="57" xfId="57" applyNumberFormat="1" applyBorder="1" applyAlignment="1">
      <alignment horizontal="right" wrapText="1"/>
      <protection/>
    </xf>
    <xf numFmtId="219" fontId="0" fillId="0" borderId="58" xfId="57" applyNumberFormat="1" applyBorder="1" applyAlignment="1">
      <alignment horizontal="right" wrapText="1"/>
      <protection/>
    </xf>
    <xf numFmtId="219" fontId="0" fillId="0" borderId="59" xfId="57" applyNumberFormat="1" applyBorder="1" applyAlignment="1">
      <alignment horizontal="right" wrapText="1"/>
      <protection/>
    </xf>
    <xf numFmtId="4" fontId="0" fillId="0" borderId="36" xfId="57" applyNumberFormat="1" applyBorder="1">
      <alignment/>
      <protection/>
    </xf>
    <xf numFmtId="14" fontId="0" fillId="0" borderId="55" xfId="57" applyNumberFormat="1" applyBorder="1" applyAlignment="1">
      <alignment horizontal="center" wrapText="1"/>
      <protection/>
    </xf>
    <xf numFmtId="219" fontId="0" fillId="0" borderId="36" xfId="57" applyNumberFormat="1" applyBorder="1" applyAlignment="1">
      <alignment horizontal="right" wrapText="1"/>
      <protection/>
    </xf>
    <xf numFmtId="219" fontId="0" fillId="0" borderId="60" xfId="57" applyNumberFormat="1" applyBorder="1" applyAlignment="1">
      <alignment horizontal="right" wrapText="1"/>
      <protection/>
    </xf>
    <xf numFmtId="219" fontId="0" fillId="43" borderId="55" xfId="57" applyNumberFormat="1" applyFill="1" applyBorder="1" applyAlignment="1">
      <alignment horizontal="right" wrapText="1"/>
      <protection/>
    </xf>
    <xf numFmtId="219" fontId="0" fillId="43" borderId="60" xfId="57" applyNumberFormat="1" applyFill="1" applyBorder="1" applyAlignment="1">
      <alignment horizontal="right" wrapText="1"/>
      <protection/>
    </xf>
    <xf numFmtId="219" fontId="0" fillId="0" borderId="0" xfId="57" applyNumberFormat="1">
      <alignment/>
      <protection/>
    </xf>
    <xf numFmtId="0" fontId="0" fillId="0" borderId="0" xfId="57" applyAlignment="1">
      <alignment horizontal="center"/>
      <protection/>
    </xf>
    <xf numFmtId="0" fontId="20" fillId="0" borderId="15" xfId="55" applyFont="1" applyBorder="1">
      <alignment/>
      <protection/>
    </xf>
    <xf numFmtId="0" fontId="0" fillId="0" borderId="0" xfId="55" applyAlignment="1">
      <alignment horizontal="center" vertical="center"/>
      <protection/>
    </xf>
    <xf numFmtId="169" fontId="0" fillId="0" borderId="0" xfId="53" applyFont="1" applyAlignment="1">
      <alignment/>
    </xf>
    <xf numFmtId="0" fontId="5" fillId="0" borderId="61" xfId="55" applyFont="1" applyBorder="1" applyAlignment="1">
      <alignment horizontal="left"/>
      <protection/>
    </xf>
    <xf numFmtId="0" fontId="0" fillId="0" borderId="62" xfId="55" applyBorder="1" applyAlignment="1">
      <alignment horizontal="left" wrapText="1"/>
      <protection/>
    </xf>
    <xf numFmtId="0" fontId="0" fillId="0" borderId="39" xfId="55" applyBorder="1" applyAlignment="1">
      <alignment horizontal="left" wrapText="1"/>
      <protection/>
    </xf>
    <xf numFmtId="173" fontId="0" fillId="0" borderId="63" xfId="55" applyNumberFormat="1" applyBorder="1" applyAlignment="1">
      <alignment horizontal="right" wrapText="1"/>
      <protection/>
    </xf>
    <xf numFmtId="169" fontId="0" fillId="0" borderId="0" xfId="53" applyFont="1" applyAlignment="1">
      <alignment horizontal="center" vertical="center"/>
    </xf>
    <xf numFmtId="0" fontId="0" fillId="35" borderId="31" xfId="55" applyFill="1" applyBorder="1" applyAlignment="1">
      <alignment horizontal="center" vertical="top" wrapText="1"/>
      <protection/>
    </xf>
    <xf numFmtId="10" fontId="0" fillId="0" borderId="0" xfId="55" applyNumberFormat="1" applyAlignment="1">
      <alignment vertical="center"/>
      <protection/>
    </xf>
    <xf numFmtId="43" fontId="0" fillId="0" borderId="0" xfId="55" applyNumberFormat="1" applyAlignment="1">
      <alignment vertical="center"/>
      <protection/>
    </xf>
    <xf numFmtId="0" fontId="0" fillId="0" borderId="16" xfId="55" applyBorder="1" applyAlignment="1">
      <alignment horizontal="center" vertical="center" wrapText="1"/>
      <protection/>
    </xf>
    <xf numFmtId="177" fontId="0" fillId="0" borderId="16" xfId="55" applyNumberFormat="1" applyBorder="1" applyAlignment="1">
      <alignment horizontal="center" vertical="center" wrapText="1"/>
      <protection/>
    </xf>
    <xf numFmtId="177" fontId="0" fillId="35" borderId="16" xfId="55" applyNumberFormat="1" applyFill="1" applyBorder="1" applyAlignment="1">
      <alignment horizontal="center" vertical="center" wrapText="1"/>
      <protection/>
    </xf>
    <xf numFmtId="0" fontId="0" fillId="0" borderId="0" xfId="55" applyAlignment="1">
      <alignment vertical="center"/>
      <protection/>
    </xf>
    <xf numFmtId="169" fontId="0" fillId="0" borderId="0" xfId="53" applyFont="1" applyAlignment="1">
      <alignment vertical="center"/>
    </xf>
    <xf numFmtId="49" fontId="0" fillId="0" borderId="0" xfId="55" applyNumberFormat="1" applyAlignment="1">
      <alignment horizontal="center" vertical="center" wrapText="1"/>
      <protection/>
    </xf>
    <xf numFmtId="49" fontId="0" fillId="0" borderId="0" xfId="55" applyNumberFormat="1" applyAlignment="1">
      <alignment vertical="center"/>
      <protection/>
    </xf>
    <xf numFmtId="177" fontId="0" fillId="0" borderId="0" xfId="55" applyNumberFormat="1" applyAlignment="1">
      <alignment horizontal="center" vertical="center" wrapText="1"/>
      <protection/>
    </xf>
    <xf numFmtId="10" fontId="0" fillId="0" borderId="0" xfId="55" applyNumberFormat="1" applyAlignment="1">
      <alignment horizontal="center" vertical="center"/>
      <protection/>
    </xf>
    <xf numFmtId="43" fontId="0" fillId="0" borderId="0" xfId="55" applyNumberFormat="1" applyAlignment="1">
      <alignment horizontal="center" vertical="center"/>
      <protection/>
    </xf>
    <xf numFmtId="0" fontId="0" fillId="33" borderId="22" xfId="55" applyFill="1" applyBorder="1" applyAlignment="1">
      <alignment horizontal="center" wrapText="1"/>
      <protection/>
    </xf>
    <xf numFmtId="169" fontId="0" fillId="0" borderId="0" xfId="53" applyFont="1" applyBorder="1" applyAlignment="1">
      <alignment horizontal="center" vertical="center" wrapText="1"/>
    </xf>
    <xf numFmtId="0" fontId="0" fillId="0" borderId="16" xfId="55" applyBorder="1" applyAlignment="1">
      <alignment horizontal="center" vertical="top" wrapText="1"/>
      <protection/>
    </xf>
    <xf numFmtId="9" fontId="0" fillId="0" borderId="0" xfId="53" applyNumberFormat="1" applyFont="1" applyBorder="1" applyAlignment="1">
      <alignment horizontal="center" vertical="center" wrapText="1"/>
    </xf>
    <xf numFmtId="169" fontId="0" fillId="0" borderId="0" xfId="53" applyFont="1" applyBorder="1" applyAlignment="1">
      <alignment vertical="center"/>
    </xf>
    <xf numFmtId="0" fontId="0" fillId="0" borderId="0" xfId="55" applyAlignment="1">
      <alignment horizontal="center" vertical="center" wrapText="1"/>
      <protection/>
    </xf>
    <xf numFmtId="0" fontId="0" fillId="0" borderId="18" xfId="55" applyBorder="1" applyAlignment="1">
      <alignment horizontal="center" wrapText="1"/>
      <protection/>
    </xf>
    <xf numFmtId="177" fontId="0" fillId="0" borderId="18" xfId="55" applyNumberFormat="1" applyBorder="1" applyAlignment="1">
      <alignment wrapText="1"/>
      <protection/>
    </xf>
    <xf numFmtId="0" fontId="0" fillId="33" borderId="23" xfId="55" applyFill="1" applyBorder="1" applyAlignment="1">
      <alignment horizontal="center" wrapText="1"/>
      <protection/>
    </xf>
    <xf numFmtId="177" fontId="0" fillId="35" borderId="18" xfId="55" applyNumberFormat="1" applyFill="1" applyBorder="1" applyAlignment="1">
      <alignment wrapText="1"/>
      <protection/>
    </xf>
    <xf numFmtId="0" fontId="0" fillId="35" borderId="15" xfId="55" applyFill="1" applyBorder="1" applyAlignment="1">
      <alignment horizontal="center" wrapText="1"/>
      <protection/>
    </xf>
    <xf numFmtId="0" fontId="0" fillId="0" borderId="50" xfId="55" applyBorder="1" applyAlignment="1">
      <alignment horizontal="left"/>
      <protection/>
    </xf>
    <xf numFmtId="0" fontId="13" fillId="0" borderId="50" xfId="55" applyFont="1" applyBorder="1" applyAlignment="1">
      <alignment horizontal="left"/>
      <protection/>
    </xf>
    <xf numFmtId="10" fontId="0" fillId="0" borderId="0" xfId="55" applyNumberFormat="1">
      <alignment/>
      <protection/>
    </xf>
    <xf numFmtId="0" fontId="0" fillId="0" borderId="20" xfId="55" applyBorder="1">
      <alignment/>
      <protection/>
    </xf>
    <xf numFmtId="44" fontId="0" fillId="0" borderId="15" xfId="49" applyFont="1" applyBorder="1" applyAlignment="1">
      <alignment/>
    </xf>
    <xf numFmtId="44" fontId="0" fillId="0" borderId="15" xfId="49" applyFont="1" applyBorder="1" applyAlignment="1">
      <alignment/>
    </xf>
    <xf numFmtId="0" fontId="20" fillId="0" borderId="0" xfId="55" applyFont="1" applyAlignment="1">
      <alignment vertical="top" wrapText="1"/>
      <protection/>
    </xf>
    <xf numFmtId="0" fontId="12" fillId="0" borderId="0" xfId="0" applyFont="1" applyBorder="1" applyAlignment="1">
      <alignment/>
    </xf>
    <xf numFmtId="0" fontId="0" fillId="0" borderId="0" xfId="0" applyBorder="1" applyAlignment="1">
      <alignment/>
    </xf>
    <xf numFmtId="38" fontId="20" fillId="0" borderId="24" xfId="0" applyNumberFormat="1"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24" xfId="0" applyFont="1" applyBorder="1" applyAlignment="1">
      <alignment horizontal="center"/>
    </xf>
    <xf numFmtId="0" fontId="21" fillId="0" borderId="64" xfId="0" applyFont="1" applyBorder="1" applyAlignment="1">
      <alignment horizontal="center"/>
    </xf>
    <xf numFmtId="0" fontId="21" fillId="0" borderId="65"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190" fontId="1" fillId="35" borderId="21" xfId="0" applyNumberFormat="1" applyFont="1" applyFill="1" applyBorder="1" applyAlignment="1">
      <alignment horizontal="center" vertical="center"/>
    </xf>
    <xf numFmtId="0" fontId="0" fillId="0" borderId="23" xfId="0" applyBorder="1" applyAlignment="1">
      <alignment horizontal="center" vertical="center"/>
    </xf>
    <xf numFmtId="0" fontId="2" fillId="35" borderId="15" xfId="0" applyFont="1" applyFill="1" applyBorder="1" applyAlignment="1">
      <alignment horizontal="center"/>
    </xf>
    <xf numFmtId="0" fontId="0" fillId="0" borderId="15" xfId="0" applyBorder="1" applyAlignment="1">
      <alignment horizontal="center"/>
    </xf>
    <xf numFmtId="0" fontId="1" fillId="35" borderId="15" xfId="0" applyFont="1" applyFill="1" applyBorder="1" applyAlignment="1">
      <alignment horizontal="center"/>
    </xf>
    <xf numFmtId="0" fontId="5" fillId="35" borderId="15"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5" fillId="35" borderId="15" xfId="0" applyNumberFormat="1" applyFont="1" applyFill="1" applyBorder="1" applyAlignment="1" applyProtection="1">
      <alignment horizontal="center" vertical="center" wrapText="1"/>
      <protection locked="0"/>
    </xf>
    <xf numFmtId="0" fontId="10" fillId="35" borderId="48" xfId="0"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center" vertic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3" fillId="36" borderId="0" xfId="0" applyNumberFormat="1" applyFont="1" applyFill="1" applyAlignment="1" applyProtection="1">
      <alignment horizontal="center" vertical="center" wrapText="1"/>
      <protection/>
    </xf>
    <xf numFmtId="0" fontId="0" fillId="37" borderId="0" xfId="0" applyFill="1" applyAlignment="1">
      <alignment horizontal="center" vertical="center" wrapText="1"/>
    </xf>
    <xf numFmtId="38" fontId="33" fillId="37" borderId="0" xfId="0" applyNumberFormat="1" applyFont="1" applyFill="1" applyAlignment="1" applyProtection="1">
      <alignment horizontal="center" vertical="center" wrapText="1"/>
      <protection/>
    </xf>
    <xf numFmtId="0" fontId="33" fillId="36" borderId="0" xfId="0" applyFont="1" applyFill="1" applyAlignment="1" applyProtection="1">
      <alignment horizontal="center" vertical="center" wrapText="1"/>
      <protection/>
    </xf>
    <xf numFmtId="0" fontId="33" fillId="36" borderId="0" xfId="0" applyFont="1" applyFill="1" applyAlignment="1" applyProtection="1">
      <alignment horizontal="center" vertical="center" wrapText="1"/>
      <protection/>
    </xf>
    <xf numFmtId="0" fontId="33" fillId="36" borderId="20" xfId="0" applyFont="1" applyFill="1" applyBorder="1" applyAlignment="1" applyProtection="1">
      <alignment horizontal="center" vertical="center"/>
      <protection/>
    </xf>
    <xf numFmtId="0" fontId="5" fillId="37" borderId="20" xfId="0" applyFont="1" applyFill="1" applyBorder="1" applyAlignment="1">
      <alignment vertical="center"/>
    </xf>
    <xf numFmtId="49" fontId="33" fillId="35" borderId="50" xfId="0" applyNumberFormat="1" applyFont="1" applyFill="1" applyBorder="1" applyAlignment="1" applyProtection="1">
      <alignment horizontal="center" vertical="center" wrapText="1"/>
      <protection/>
    </xf>
    <xf numFmtId="0" fontId="33" fillId="35" borderId="18" xfId="0" applyFont="1" applyFill="1" applyBorder="1" applyAlignment="1" applyProtection="1">
      <alignment horizontal="center" vertical="center" wrapText="1"/>
      <protection/>
    </xf>
    <xf numFmtId="0" fontId="33" fillId="35" borderId="19" xfId="0" applyFont="1" applyFill="1" applyBorder="1" applyAlignment="1" applyProtection="1">
      <alignment horizontal="center" vertical="center" wrapText="1"/>
      <protection/>
    </xf>
    <xf numFmtId="38" fontId="33" fillId="35" borderId="0" xfId="0" applyNumberFormat="1" applyFont="1" applyFill="1" applyAlignment="1" applyProtection="1">
      <alignment horizontal="center" vertical="center"/>
      <protection/>
    </xf>
    <xf numFmtId="0" fontId="0" fillId="0" borderId="0" xfId="0" applyAlignment="1">
      <alignment horizontal="center" vertical="center"/>
    </xf>
    <xf numFmtId="49" fontId="33" fillId="35" borderId="0" xfId="0" applyNumberFormat="1" applyFont="1" applyFill="1" applyAlignment="1" applyProtection="1">
      <alignment horizontal="center" vertical="center" wrapText="1"/>
      <protection/>
    </xf>
    <xf numFmtId="0" fontId="35" fillId="37" borderId="20" xfId="0" applyFont="1" applyFill="1" applyBorder="1" applyAlignment="1">
      <alignment horizontal="center" wrapText="1"/>
    </xf>
    <xf numFmtId="0" fontId="5" fillId="37" borderId="20" xfId="0" applyFont="1" applyFill="1" applyBorder="1" applyAlignment="1">
      <alignment horizontal="center" wrapText="1"/>
    </xf>
    <xf numFmtId="0" fontId="33" fillId="35" borderId="19" xfId="80" applyNumberFormat="1" applyFont="1" applyFill="1" applyBorder="1" applyAlignment="1" applyProtection="1">
      <alignment horizontal="center" vertical="center"/>
      <protection/>
    </xf>
    <xf numFmtId="0" fontId="16" fillId="0" borderId="47" xfId="0" applyFont="1" applyBorder="1" applyAlignment="1">
      <alignment wrapText="1"/>
    </xf>
    <xf numFmtId="0" fontId="0" fillId="0" borderId="19" xfId="0" applyBorder="1" applyAlignment="1">
      <alignment wrapText="1"/>
    </xf>
    <xf numFmtId="0" fontId="0" fillId="0" borderId="31" xfId="0" applyBorder="1" applyAlignment="1">
      <alignment wrapText="1"/>
    </xf>
    <xf numFmtId="0" fontId="6" fillId="35" borderId="15" xfId="0" applyFont="1" applyFill="1" applyBorder="1" applyAlignment="1">
      <alignment horizontal="center" vertical="center" wrapText="1"/>
    </xf>
    <xf numFmtId="38" fontId="14" fillId="0" borderId="24" xfId="0" applyNumberFormat="1"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4" xfId="0" applyFont="1" applyBorder="1" applyAlignment="1">
      <alignment horizontal="center"/>
    </xf>
    <xf numFmtId="0" fontId="6" fillId="35" borderId="47" xfId="0" applyFont="1" applyFill="1"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40" fillId="35" borderId="15" xfId="0" applyFont="1" applyFill="1" applyBorder="1" applyAlignment="1">
      <alignment horizontal="center" vertical="center" wrapText="1"/>
    </xf>
    <xf numFmtId="38" fontId="40" fillId="0" borderId="24" xfId="0" applyNumberFormat="1" applyFont="1" applyBorder="1" applyAlignment="1">
      <alignment horizontal="center"/>
    </xf>
    <xf numFmtId="0" fontId="40" fillId="0" borderId="25" xfId="0" applyFont="1" applyBorder="1" applyAlignment="1">
      <alignment horizontal="center"/>
    </xf>
    <xf numFmtId="0" fontId="40" fillId="0" borderId="26" xfId="0" applyFont="1" applyBorder="1" applyAlignment="1">
      <alignment horizontal="center"/>
    </xf>
    <xf numFmtId="0" fontId="40" fillId="0" borderId="24" xfId="0" applyFont="1" applyBorder="1" applyAlignment="1">
      <alignment horizontal="center"/>
    </xf>
    <xf numFmtId="203" fontId="21" fillId="0" borderId="21" xfId="0" applyNumberFormat="1" applyFont="1" applyFill="1" applyBorder="1" applyAlignment="1">
      <alignment horizontal="center" textRotation="90" wrapText="1"/>
    </xf>
    <xf numFmtId="203" fontId="21" fillId="0" borderId="22" xfId="0" applyNumberFormat="1" applyFont="1" applyFill="1" applyBorder="1" applyAlignment="1">
      <alignment horizontal="center" textRotation="90" wrapText="1"/>
    </xf>
    <xf numFmtId="0" fontId="0" fillId="0" borderId="22" xfId="0" applyBorder="1" applyAlignment="1">
      <alignment horizontal="center" textRotation="90" wrapText="1"/>
    </xf>
    <xf numFmtId="0" fontId="0" fillId="0" borderId="23" xfId="0" applyBorder="1" applyAlignment="1">
      <alignment horizontal="center" textRotation="90" wrapText="1"/>
    </xf>
    <xf numFmtId="0" fontId="0" fillId="0" borderId="61" xfId="55" applyFont="1" applyBorder="1" applyAlignment="1">
      <alignment horizontal="left" wrapText="1"/>
      <protection/>
    </xf>
    <xf numFmtId="0" fontId="0" fillId="0" borderId="62" xfId="55" applyFont="1" applyBorder="1" applyAlignment="1">
      <alignment horizontal="left" wrapText="1"/>
      <protection/>
    </xf>
    <xf numFmtId="0" fontId="0" fillId="0" borderId="39" xfId="55" applyFont="1" applyBorder="1" applyAlignment="1">
      <alignment horizontal="left" wrapText="1"/>
      <protection/>
    </xf>
    <xf numFmtId="173" fontId="0" fillId="0" borderId="66" xfId="55" applyNumberFormat="1" applyFont="1" applyBorder="1" applyAlignment="1">
      <alignment horizontal="right" wrapText="1"/>
      <protection/>
    </xf>
    <xf numFmtId="173" fontId="0" fillId="0" borderId="0" xfId="55" applyNumberFormat="1" applyFont="1" applyAlignment="1">
      <alignment horizontal="right" wrapText="1"/>
      <protection/>
    </xf>
    <xf numFmtId="0" fontId="5" fillId="34" borderId="38" xfId="55" applyFont="1" applyFill="1" applyBorder="1" applyAlignment="1">
      <alignment horizontal="center" vertical="center" wrapText="1"/>
      <protection/>
    </xf>
    <xf numFmtId="0" fontId="5" fillId="34" borderId="16" xfId="55" applyFont="1" applyFill="1" applyBorder="1" applyAlignment="1">
      <alignment horizontal="center" vertical="center" wrapText="1"/>
      <protection/>
    </xf>
    <xf numFmtId="0" fontId="5" fillId="34" borderId="18" xfId="55" applyFont="1" applyFill="1" applyBorder="1" applyAlignment="1">
      <alignment horizontal="center" vertical="center" wrapText="1"/>
      <protection/>
    </xf>
    <xf numFmtId="0" fontId="5" fillId="34" borderId="47" xfId="55" applyFont="1" applyFill="1" applyBorder="1" applyAlignment="1">
      <alignment horizontal="center" vertical="center" wrapText="1"/>
      <protection/>
    </xf>
    <xf numFmtId="0" fontId="5" fillId="34" borderId="19" xfId="55" applyFont="1" applyFill="1" applyBorder="1" applyAlignment="1">
      <alignment horizontal="center" vertical="center" wrapText="1"/>
      <protection/>
    </xf>
    <xf numFmtId="0" fontId="5" fillId="34" borderId="31" xfId="55" applyFont="1" applyFill="1" applyBorder="1" applyAlignment="1">
      <alignment horizontal="center" vertical="center" wrapText="1"/>
      <protection/>
    </xf>
    <xf numFmtId="0" fontId="5" fillId="0" borderId="50" xfId="55" applyFont="1" applyBorder="1" applyAlignment="1">
      <alignment horizontal="left"/>
      <protection/>
    </xf>
    <xf numFmtId="38" fontId="0" fillId="0" borderId="24" xfId="55" applyNumberFormat="1" applyFont="1" applyBorder="1" applyAlignment="1">
      <alignment horizontal="center"/>
      <protection/>
    </xf>
    <xf numFmtId="0" fontId="0" fillId="0" borderId="25" xfId="55" applyFont="1" applyBorder="1" applyAlignment="1">
      <alignment horizontal="center"/>
      <protection/>
    </xf>
    <xf numFmtId="0" fontId="0" fillId="0" borderId="26" xfId="55" applyFont="1" applyBorder="1" applyAlignment="1">
      <alignment horizontal="center"/>
      <protection/>
    </xf>
    <xf numFmtId="0" fontId="0" fillId="0" borderId="24" xfId="55" applyFont="1" applyBorder="1" applyAlignment="1">
      <alignment horizontal="center"/>
      <protection/>
    </xf>
    <xf numFmtId="0" fontId="5" fillId="0" borderId="24" xfId="55" applyFont="1" applyBorder="1" applyAlignment="1">
      <alignment horizontal="center"/>
      <protection/>
    </xf>
    <xf numFmtId="0" fontId="5" fillId="0" borderId="25" xfId="55" applyFont="1" applyBorder="1" applyAlignment="1">
      <alignment horizontal="center"/>
      <protection/>
    </xf>
    <xf numFmtId="0" fontId="5" fillId="0" borderId="26" xfId="55" applyFont="1" applyBorder="1" applyAlignment="1">
      <alignment horizontal="center"/>
      <protection/>
    </xf>
    <xf numFmtId="0" fontId="36" fillId="0" borderId="50" xfId="0" applyFont="1" applyBorder="1" applyAlignment="1">
      <alignment horizontal="left"/>
    </xf>
    <xf numFmtId="0" fontId="17" fillId="34" borderId="38"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31" xfId="0" applyFont="1" applyFill="1" applyBorder="1" applyAlignment="1">
      <alignment horizontal="center" vertical="center" wrapText="1"/>
    </xf>
    <xf numFmtId="0" fontId="6" fillId="0" borderId="61" xfId="0" applyFont="1" applyFill="1" applyBorder="1" applyAlignment="1">
      <alignment wrapText="1"/>
    </xf>
    <xf numFmtId="0" fontId="5" fillId="0" borderId="62" xfId="0" applyFont="1" applyBorder="1" applyAlignment="1">
      <alignment wrapText="1"/>
    </xf>
    <xf numFmtId="0" fontId="5" fillId="0" borderId="39" xfId="0" applyFont="1" applyBorder="1" applyAlignment="1">
      <alignment wrapText="1"/>
    </xf>
    <xf numFmtId="203" fontId="16" fillId="40" borderId="21" xfId="0" applyNumberFormat="1" applyFont="1" applyFill="1" applyBorder="1" applyAlignment="1">
      <alignment horizontal="center" textRotation="90" wrapText="1"/>
    </xf>
    <xf numFmtId="0" fontId="16" fillId="34" borderId="22" xfId="0" applyFont="1" applyFill="1" applyBorder="1" applyAlignment="1">
      <alignment horizontal="center" textRotation="90" wrapText="1"/>
    </xf>
    <xf numFmtId="0" fontId="16" fillId="34" borderId="23" xfId="0" applyFont="1" applyFill="1" applyBorder="1" applyAlignment="1">
      <alignment horizontal="center" textRotation="90" wrapText="1"/>
    </xf>
    <xf numFmtId="0" fontId="17" fillId="0" borderId="24"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38" fontId="17" fillId="0" borderId="24" xfId="0" applyNumberFormat="1"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17" fillId="0" borderId="17" xfId="0" applyFont="1" applyBorder="1" applyAlignment="1">
      <alignment wrapText="1"/>
    </xf>
    <xf numFmtId="173" fontId="17" fillId="0" borderId="17" xfId="0" applyNumberFormat="1" applyFont="1" applyBorder="1" applyAlignment="1">
      <alignment horizontal="right" wrapText="1"/>
    </xf>
    <xf numFmtId="0" fontId="17" fillId="0" borderId="17" xfId="0" applyFont="1" applyBorder="1" applyAlignment="1">
      <alignment horizontal="right" wrapText="1"/>
    </xf>
    <xf numFmtId="0" fontId="0" fillId="0" borderId="3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5" fillId="0" borderId="61" xfId="0" applyFont="1" applyFill="1" applyBorder="1" applyAlignment="1">
      <alignment horizontal="justify"/>
    </xf>
    <xf numFmtId="0" fontId="5" fillId="0" borderId="39" xfId="0" applyFont="1" applyFill="1" applyBorder="1" applyAlignment="1">
      <alignment/>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46" fillId="0" borderId="47" xfId="0" applyFont="1" applyFill="1" applyBorder="1" applyAlignment="1">
      <alignment horizontal="left"/>
    </xf>
    <xf numFmtId="0" fontId="0" fillId="0" borderId="19" xfId="0" applyBorder="1" applyAlignment="1">
      <alignment horizontal="left"/>
    </xf>
    <xf numFmtId="0" fontId="0" fillId="0" borderId="31" xfId="0" applyBorder="1" applyAlignment="1">
      <alignment horizontal="left"/>
    </xf>
    <xf numFmtId="203" fontId="0" fillId="0" borderId="21" xfId="0" applyNumberFormat="1" applyFont="1" applyFill="1" applyBorder="1" applyAlignment="1">
      <alignment textRotation="90" wrapText="1"/>
    </xf>
    <xf numFmtId="203" fontId="0" fillId="0" borderId="22" xfId="0" applyNumberFormat="1" applyFont="1" applyFill="1" applyBorder="1" applyAlignment="1">
      <alignment textRotation="90" wrapText="1"/>
    </xf>
    <xf numFmtId="203" fontId="0" fillId="0" borderId="23" xfId="0" applyNumberFormat="1" applyFont="1" applyFill="1" applyBorder="1" applyAlignment="1">
      <alignment textRotation="90" wrapText="1"/>
    </xf>
    <xf numFmtId="0" fontId="5" fillId="0" borderId="50" xfId="0" applyFont="1" applyBorder="1" applyAlignment="1">
      <alignment horizontal="left"/>
    </xf>
    <xf numFmtId="173" fontId="0" fillId="0" borderId="17" xfId="0" applyNumberFormat="1" applyFont="1" applyFill="1" applyBorder="1" applyAlignment="1">
      <alignment horizontal="right" wrapText="1"/>
    </xf>
    <xf numFmtId="0" fontId="0" fillId="0" borderId="17" xfId="0" applyFont="1" applyFill="1" applyBorder="1" applyAlignment="1">
      <alignment horizontal="right" wrapText="1"/>
    </xf>
    <xf numFmtId="0" fontId="0" fillId="0" borderId="4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0" xfId="0" applyFont="1" applyFill="1" applyBorder="1" applyAlignment="1">
      <alignment horizontal="center" vertical="center" wrapText="1"/>
    </xf>
    <xf numFmtId="217" fontId="5" fillId="0" borderId="49" xfId="0" applyNumberFormat="1" applyFont="1" applyFill="1" applyBorder="1" applyAlignment="1">
      <alignment horizontal="center"/>
    </xf>
    <xf numFmtId="217" fontId="5" fillId="0" borderId="0" xfId="0" applyNumberFormat="1" applyFont="1" applyFill="1" applyBorder="1" applyAlignment="1">
      <alignment horizontal="center"/>
    </xf>
    <xf numFmtId="38" fontId="0" fillId="0" borderId="24" xfId="0" applyNumberFormat="1"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0" fillId="0" borderId="47" xfId="0" applyFont="1" applyFill="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50" xfId="0" applyFont="1" applyFill="1" applyBorder="1" applyAlignment="1">
      <alignment horizontal="left"/>
    </xf>
    <xf numFmtId="0" fontId="16" fillId="0" borderId="20" xfId="0" applyFont="1" applyFill="1" applyBorder="1" applyAlignment="1">
      <alignment horizontal="left" vertical="top" wrapText="1"/>
    </xf>
    <xf numFmtId="0" fontId="5" fillId="0" borderId="20" xfId="0" applyFont="1" applyFill="1" applyBorder="1" applyAlignment="1">
      <alignment/>
    </xf>
    <xf numFmtId="38" fontId="44" fillId="0" borderId="24" xfId="0" applyNumberFormat="1" applyFont="1" applyFill="1" applyBorder="1" applyAlignment="1">
      <alignment horizontal="center"/>
    </xf>
    <xf numFmtId="0" fontId="44" fillId="0" borderId="25" xfId="0" applyFont="1" applyFill="1" applyBorder="1" applyAlignment="1">
      <alignment horizontal="center"/>
    </xf>
    <xf numFmtId="0" fontId="44" fillId="0" borderId="26" xfId="0" applyFont="1" applyFill="1" applyBorder="1" applyAlignment="1">
      <alignment horizontal="center"/>
    </xf>
    <xf numFmtId="0" fontId="44" fillId="0" borderId="24" xfId="0" applyFont="1" applyFill="1" applyBorder="1" applyAlignment="1">
      <alignment horizontal="center"/>
    </xf>
    <xf numFmtId="0" fontId="44" fillId="0" borderId="19" xfId="0" applyFont="1" applyFill="1" applyBorder="1" applyAlignment="1">
      <alignment wrapText="1"/>
    </xf>
    <xf numFmtId="0" fontId="45" fillId="0" borderId="19" xfId="0" applyFont="1" applyFill="1" applyBorder="1" applyAlignment="1">
      <alignment horizontal="center" wrapText="1"/>
    </xf>
    <xf numFmtId="0" fontId="45" fillId="0" borderId="61" xfId="0" applyFont="1" applyFill="1" applyBorder="1" applyAlignment="1">
      <alignment wrapText="1"/>
    </xf>
    <xf numFmtId="0" fontId="45" fillId="0" borderId="39" xfId="0" applyFont="1" applyFill="1" applyBorder="1" applyAlignment="1">
      <alignment wrapText="1"/>
    </xf>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6" xfId="0" applyFont="1" applyFill="1" applyBorder="1" applyAlignment="1">
      <alignment horizontal="center"/>
    </xf>
    <xf numFmtId="0" fontId="45" fillId="0" borderId="50" xfId="0" applyFont="1" applyFill="1" applyBorder="1" applyAlignment="1">
      <alignment wrapText="1"/>
    </xf>
    <xf numFmtId="0" fontId="44" fillId="0" borderId="50" xfId="0" applyFont="1" applyFill="1" applyBorder="1" applyAlignment="1">
      <alignment wrapText="1"/>
    </xf>
    <xf numFmtId="0" fontId="44" fillId="0" borderId="50" xfId="0" applyFont="1" applyFill="1" applyBorder="1" applyAlignment="1">
      <alignment horizontal="left"/>
    </xf>
    <xf numFmtId="0" fontId="6" fillId="33" borderId="3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17" fillId="33" borderId="38" xfId="0" applyFont="1" applyFill="1" applyBorder="1" applyAlignment="1">
      <alignment horizontal="left" vertical="top" wrapText="1"/>
    </xf>
    <xf numFmtId="0" fontId="17" fillId="33" borderId="18" xfId="0" applyFont="1" applyFill="1" applyBorder="1" applyAlignment="1">
      <alignment horizontal="left" vertical="top" wrapText="1"/>
    </xf>
    <xf numFmtId="0" fontId="17" fillId="33" borderId="19" xfId="0" applyFont="1" applyFill="1" applyBorder="1" applyAlignment="1">
      <alignment vertical="top"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26" xfId="0" applyFont="1" applyFill="1" applyBorder="1" applyAlignment="1">
      <alignment horizontal="center"/>
    </xf>
    <xf numFmtId="38" fontId="17" fillId="0" borderId="24" xfId="0" applyNumberFormat="1"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4" fontId="54" fillId="0" borderId="48" xfId="0" applyNumberFormat="1" applyFont="1" applyBorder="1" applyAlignment="1">
      <alignment horizontal="center"/>
    </xf>
    <xf numFmtId="4" fontId="54" fillId="0" borderId="50" xfId="0" applyNumberFormat="1" applyFont="1" applyBorder="1" applyAlignment="1">
      <alignment horizontal="center"/>
    </xf>
    <xf numFmtId="4" fontId="54" fillId="34" borderId="47" xfId="0" applyNumberFormat="1" applyFont="1" applyFill="1" applyBorder="1" applyAlignment="1">
      <alignment horizontal="center" wrapText="1"/>
    </xf>
    <xf numFmtId="4" fontId="54" fillId="34" borderId="31" xfId="0" applyNumberFormat="1" applyFont="1" applyFill="1" applyBorder="1" applyAlignment="1">
      <alignment horizontal="center" wrapText="1"/>
    </xf>
    <xf numFmtId="4" fontId="54" fillId="0" borderId="38" xfId="0" applyNumberFormat="1" applyFont="1" applyBorder="1" applyAlignment="1">
      <alignment horizontal="center"/>
    </xf>
    <xf numFmtId="4" fontId="54" fillId="0" borderId="47" xfId="0" applyNumberFormat="1" applyFont="1" applyBorder="1" applyAlignment="1">
      <alignment horizontal="center"/>
    </xf>
    <xf numFmtId="4" fontId="54" fillId="0" borderId="31" xfId="0" applyNumberFormat="1" applyFont="1" applyBorder="1" applyAlignment="1">
      <alignment horizontal="center"/>
    </xf>
    <xf numFmtId="37" fontId="54" fillId="34" borderId="47" xfId="0" applyNumberFormat="1" applyFont="1" applyFill="1" applyBorder="1" applyAlignment="1">
      <alignment horizontal="center" vertical="center"/>
    </xf>
    <xf numFmtId="37" fontId="54" fillId="34" borderId="19" xfId="0" applyNumberFormat="1" applyFont="1" applyFill="1" applyBorder="1" applyAlignment="1">
      <alignment horizontal="center" vertical="center"/>
    </xf>
    <xf numFmtId="37" fontId="55" fillId="34" borderId="47" xfId="0" applyNumberFormat="1" applyFont="1" applyFill="1" applyBorder="1" applyAlignment="1">
      <alignment horizontal="center"/>
    </xf>
    <xf numFmtId="37" fontId="55" fillId="34" borderId="19" xfId="0" applyNumberFormat="1" applyFont="1" applyFill="1" applyBorder="1" applyAlignment="1">
      <alignment horizontal="center"/>
    </xf>
    <xf numFmtId="0" fontId="55" fillId="34" borderId="19" xfId="0" applyFont="1" applyFill="1" applyBorder="1" applyAlignment="1">
      <alignment horizontal="center" vertical="center"/>
    </xf>
    <xf numFmtId="4" fontId="54" fillId="0" borderId="19" xfId="0" applyNumberFormat="1" applyFont="1" applyBorder="1" applyAlignment="1">
      <alignment horizontal="center"/>
    </xf>
    <xf numFmtId="0" fontId="54" fillId="0" borderId="0" xfId="55" applyFont="1" applyAlignment="1">
      <alignment horizontal="left" wrapText="1"/>
      <protection/>
    </xf>
    <xf numFmtId="0" fontId="55" fillId="34" borderId="67" xfId="0" applyFont="1" applyFill="1" applyBorder="1" applyAlignment="1">
      <alignment horizontal="center" vertical="center"/>
    </xf>
    <xf numFmtId="0" fontId="55" fillId="34" borderId="47" xfId="0" applyFont="1" applyFill="1" applyBorder="1" applyAlignment="1">
      <alignment horizontal="center" vertical="center"/>
    </xf>
    <xf numFmtId="0" fontId="54" fillId="0" borderId="15" xfId="0" applyFont="1" applyBorder="1" applyAlignment="1">
      <alignment horizontal="center" vertical="top" wrapText="1"/>
    </xf>
    <xf numFmtId="0" fontId="54" fillId="0" borderId="15" xfId="0" applyFont="1" applyBorder="1" applyAlignment="1">
      <alignment horizontal="center" wrapText="1"/>
    </xf>
    <xf numFmtId="0" fontId="55" fillId="34" borderId="19" xfId="0" applyFont="1" applyFill="1" applyBorder="1" applyAlignment="1">
      <alignment horizontal="center" vertical="center" wrapText="1"/>
    </xf>
    <xf numFmtId="0" fontId="54" fillId="0" borderId="47" xfId="0" applyFont="1" applyBorder="1" applyAlignment="1">
      <alignment horizontal="center" vertical="top" wrapText="1"/>
    </xf>
    <xf numFmtId="0" fontId="54" fillId="0" borderId="19" xfId="0" applyFont="1" applyBorder="1" applyAlignment="1">
      <alignment horizontal="center" vertical="top" wrapText="1"/>
    </xf>
    <xf numFmtId="0" fontId="55" fillId="34" borderId="47" xfId="0" applyFont="1" applyFill="1" applyBorder="1" applyAlignment="1">
      <alignment horizontal="center" wrapText="1"/>
    </xf>
    <xf numFmtId="0" fontId="55" fillId="34" borderId="19" xfId="0" applyFont="1" applyFill="1" applyBorder="1" applyAlignment="1">
      <alignment horizontal="center" wrapText="1"/>
    </xf>
    <xf numFmtId="0" fontId="55" fillId="34" borderId="48" xfId="0" applyFont="1" applyFill="1" applyBorder="1" applyAlignment="1">
      <alignment horizontal="center" vertical="center" wrapText="1"/>
    </xf>
    <xf numFmtId="0" fontId="55" fillId="34" borderId="50" xfId="0" applyFont="1" applyFill="1" applyBorder="1" applyAlignment="1">
      <alignment horizontal="center" vertical="center" wrapText="1"/>
    </xf>
    <xf numFmtId="8" fontId="54" fillId="0" borderId="52" xfId="0" applyNumberFormat="1" applyFont="1" applyBorder="1" applyAlignment="1">
      <alignment horizontal="right"/>
    </xf>
    <xf numFmtId="0" fontId="55" fillId="34" borderId="52" xfId="0" applyFont="1" applyFill="1" applyBorder="1" applyAlignment="1">
      <alignment horizontal="center" vertical="center"/>
    </xf>
    <xf numFmtId="0" fontId="55" fillId="33" borderId="68"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5" fillId="34" borderId="47" xfId="0" applyFont="1" applyFill="1" applyBorder="1" applyAlignment="1">
      <alignment horizontal="center" vertical="center" wrapText="1"/>
    </xf>
    <xf numFmtId="38" fontId="54" fillId="0" borderId="0" xfId="0" applyNumberFormat="1"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54" fillId="0" borderId="52" xfId="0" applyFont="1" applyBorder="1" applyAlignment="1">
      <alignment horizontal="left" vertical="center"/>
    </xf>
    <xf numFmtId="4" fontId="54" fillId="34" borderId="47" xfId="0" applyNumberFormat="1" applyFont="1" applyFill="1" applyBorder="1" applyAlignment="1">
      <alignment horizontal="center" vertical="center" wrapText="1"/>
    </xf>
    <xf numFmtId="4" fontId="54" fillId="34" borderId="31" xfId="0" applyNumberFormat="1" applyFont="1" applyFill="1" applyBorder="1" applyAlignment="1">
      <alignment horizontal="center" vertical="center" wrapText="1"/>
    </xf>
    <xf numFmtId="0" fontId="54" fillId="0" borderId="47" xfId="0" applyFont="1" applyBorder="1" applyAlignment="1">
      <alignment horizontal="center"/>
    </xf>
    <xf numFmtId="0" fontId="54" fillId="0" borderId="19" xfId="0" applyFont="1" applyBorder="1" applyAlignment="1">
      <alignment horizontal="center"/>
    </xf>
    <xf numFmtId="4" fontId="54" fillId="34" borderId="19" xfId="0" applyNumberFormat="1" applyFont="1" applyFill="1" applyBorder="1" applyAlignment="1">
      <alignment horizontal="center" vertical="center" wrapText="1"/>
    </xf>
    <xf numFmtId="0" fontId="54" fillId="0" borderId="48" xfId="0" applyFont="1" applyBorder="1" applyAlignment="1">
      <alignment horizontal="center"/>
    </xf>
    <xf numFmtId="0" fontId="54" fillId="0" borderId="38" xfId="0" applyFont="1" applyBorder="1" applyAlignment="1">
      <alignment horizontal="center"/>
    </xf>
    <xf numFmtId="0" fontId="0" fillId="35" borderId="21" xfId="55" applyFill="1" applyBorder="1" applyAlignment="1">
      <alignment horizontal="center" vertical="center" wrapText="1"/>
      <protection/>
    </xf>
    <xf numFmtId="0" fontId="0" fillId="35" borderId="22" xfId="55" applyFill="1" applyBorder="1" applyAlignment="1">
      <alignment horizontal="center" vertical="center" wrapText="1"/>
      <protection/>
    </xf>
    <xf numFmtId="0" fontId="0" fillId="35" borderId="23" xfId="55" applyFill="1" applyBorder="1" applyAlignment="1">
      <alignment horizontal="center" vertical="center" wrapText="1"/>
      <protection/>
    </xf>
    <xf numFmtId="0" fontId="0" fillId="33" borderId="21" xfId="55" applyFill="1" applyBorder="1" applyAlignment="1">
      <alignment horizontal="center" vertical="center" wrapText="1"/>
      <protection/>
    </xf>
    <xf numFmtId="0" fontId="0" fillId="33" borderId="22" xfId="55" applyFill="1" applyBorder="1" applyAlignment="1">
      <alignment horizontal="center" vertical="center" wrapText="1"/>
      <protection/>
    </xf>
    <xf numFmtId="38" fontId="15" fillId="0" borderId="24" xfId="55" applyNumberFormat="1" applyFont="1" applyBorder="1" applyAlignment="1">
      <alignment horizontal="center"/>
      <protection/>
    </xf>
    <xf numFmtId="0" fontId="15" fillId="0" borderId="25" xfId="55" applyFont="1" applyBorder="1" applyAlignment="1">
      <alignment horizontal="center"/>
      <protection/>
    </xf>
    <xf numFmtId="0" fontId="15" fillId="0" borderId="26" xfId="55" applyFont="1" applyBorder="1" applyAlignment="1">
      <alignment horizontal="center"/>
      <protection/>
    </xf>
    <xf numFmtId="0" fontId="15" fillId="0" borderId="24" xfId="55" applyFont="1" applyBorder="1" applyAlignment="1">
      <alignment horizontal="center"/>
      <protection/>
    </xf>
    <xf numFmtId="0" fontId="16" fillId="0" borderId="24" xfId="55" applyFont="1" applyBorder="1" applyAlignment="1">
      <alignment horizontal="center"/>
      <protection/>
    </xf>
    <xf numFmtId="0" fontId="16" fillId="0" borderId="25" xfId="55" applyFont="1" applyBorder="1" applyAlignment="1">
      <alignment horizontal="center"/>
      <protection/>
    </xf>
    <xf numFmtId="0" fontId="16" fillId="0" borderId="26" xfId="55" applyFont="1" applyBorder="1" applyAlignment="1">
      <alignment horizontal="center"/>
      <protection/>
    </xf>
    <xf numFmtId="0" fontId="0" fillId="35" borderId="19" xfId="55" applyFill="1" applyBorder="1" applyAlignment="1">
      <alignment wrapText="1"/>
      <protection/>
    </xf>
    <xf numFmtId="0" fontId="0" fillId="35" borderId="31" xfId="55" applyFill="1" applyBorder="1" applyAlignment="1">
      <alignment wrapText="1"/>
      <protection/>
    </xf>
    <xf numFmtId="0" fontId="0" fillId="0" borderId="50" xfId="55" applyBorder="1" applyAlignment="1">
      <alignment horizontal="center"/>
      <protection/>
    </xf>
    <xf numFmtId="0" fontId="0" fillId="0" borderId="0" xfId="55" applyAlignment="1">
      <alignment horizontal="center"/>
      <protection/>
    </xf>
    <xf numFmtId="0" fontId="0" fillId="35" borderId="38" xfId="55" applyFill="1" applyBorder="1" applyAlignment="1">
      <alignment horizontal="center" vertical="center" wrapText="1"/>
      <protection/>
    </xf>
    <xf numFmtId="0" fontId="0" fillId="35" borderId="16" xfId="55" applyFill="1" applyBorder="1" applyAlignment="1">
      <alignment horizontal="center" vertical="center" wrapText="1"/>
      <protection/>
    </xf>
    <xf numFmtId="0" fontId="0" fillId="35" borderId="18" xfId="55" applyFill="1" applyBorder="1" applyAlignment="1">
      <alignment horizontal="center" vertical="center" wrapText="1"/>
      <protection/>
    </xf>
    <xf numFmtId="0" fontId="0" fillId="35" borderId="48" xfId="55" applyFill="1" applyBorder="1" applyAlignment="1">
      <alignment horizontal="center" vertical="center" wrapText="1"/>
      <protection/>
    </xf>
    <xf numFmtId="0" fontId="0" fillId="35" borderId="49" xfId="55" applyFill="1" applyBorder="1" applyAlignment="1">
      <alignment horizontal="center" vertical="center" wrapText="1"/>
      <protection/>
    </xf>
    <xf numFmtId="0" fontId="0" fillId="35" borderId="51" xfId="55" applyFill="1" applyBorder="1" applyAlignment="1">
      <alignment horizontal="center" vertical="center" wrapText="1"/>
      <protection/>
    </xf>
    <xf numFmtId="0" fontId="0" fillId="35" borderId="50" xfId="55" applyFill="1" applyBorder="1" applyAlignment="1">
      <alignment horizontal="center" vertical="center" wrapText="1"/>
      <protection/>
    </xf>
    <xf numFmtId="0" fontId="0" fillId="35" borderId="20" xfId="55" applyFill="1" applyBorder="1" applyAlignment="1">
      <alignment horizontal="center" vertical="center" wrapText="1"/>
      <protection/>
    </xf>
    <xf numFmtId="0" fontId="6" fillId="0" borderId="50" xfId="0" applyFont="1" applyFill="1" applyBorder="1" applyAlignment="1">
      <alignment horizontal="left"/>
    </xf>
    <xf numFmtId="0" fontId="17" fillId="0" borderId="50" xfId="0" applyFont="1" applyFill="1" applyBorder="1" applyAlignment="1">
      <alignment horizontal="left"/>
    </xf>
    <xf numFmtId="0" fontId="17" fillId="0" borderId="0" xfId="0" applyFont="1" applyBorder="1" applyAlignment="1">
      <alignment horizontal="justify" wrapText="1"/>
    </xf>
    <xf numFmtId="173" fontId="17" fillId="0" borderId="0" xfId="0" applyNumberFormat="1" applyFont="1" applyBorder="1" applyAlignment="1">
      <alignment horizontal="right" wrapText="1"/>
    </xf>
    <xf numFmtId="0" fontId="6" fillId="35" borderId="23" xfId="0" applyFont="1" applyFill="1" applyBorder="1" applyAlignment="1">
      <alignment horizontal="center" wrapText="1"/>
    </xf>
    <xf numFmtId="0" fontId="6" fillId="35" borderId="15" xfId="0" applyFont="1" applyFill="1" applyBorder="1" applyAlignment="1">
      <alignment horizontal="center" wrapText="1"/>
    </xf>
    <xf numFmtId="0" fontId="17" fillId="0" borderId="19" xfId="55" applyFont="1" applyFill="1" applyBorder="1" applyAlignment="1">
      <alignment horizontal="center" wrapText="1"/>
      <protection/>
    </xf>
    <xf numFmtId="0" fontId="17" fillId="0" borderId="31" xfId="55" applyFont="1" applyFill="1" applyBorder="1" applyAlignment="1">
      <alignment horizontal="center" wrapText="1"/>
      <protection/>
    </xf>
    <xf numFmtId="0" fontId="6" fillId="0" borderId="0" xfId="0" applyFont="1" applyFill="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21" fillId="0" borderId="69" xfId="57" applyFont="1" applyBorder="1" applyAlignment="1">
      <alignment horizontal="center"/>
      <protection/>
    </xf>
    <xf numFmtId="0" fontId="0" fillId="0" borderId="70" xfId="57" applyBorder="1">
      <alignment/>
      <protection/>
    </xf>
    <xf numFmtId="0" fontId="21" fillId="0" borderId="35" xfId="57" applyFont="1" applyBorder="1" applyAlignment="1">
      <alignment horizontal="center"/>
      <protection/>
    </xf>
    <xf numFmtId="0" fontId="0" fillId="0" borderId="0" xfId="57">
      <alignment/>
      <protection/>
    </xf>
    <xf numFmtId="0" fontId="21" fillId="42" borderId="71" xfId="57" applyFont="1" applyFill="1" applyBorder="1" applyAlignment="1">
      <alignment horizontal="center" vertical="top" wrapText="1"/>
      <protection/>
    </xf>
    <xf numFmtId="0" fontId="21" fillId="42" borderId="72" xfId="57" applyFont="1" applyFill="1" applyBorder="1" applyAlignment="1">
      <alignment horizontal="center" vertical="top" wrapText="1"/>
      <protection/>
    </xf>
    <xf numFmtId="0" fontId="21" fillId="42" borderId="34" xfId="55" applyFont="1" applyFill="1" applyBorder="1" applyAlignment="1">
      <alignment horizontal="center" vertical="top" wrapText="1"/>
      <protection/>
    </xf>
    <xf numFmtId="0" fontId="21" fillId="42" borderId="52" xfId="55" applyFont="1" applyFill="1" applyBorder="1" applyAlignment="1">
      <alignment horizontal="center" vertical="top" wrapText="1"/>
      <protection/>
    </xf>
    <xf numFmtId="0" fontId="1" fillId="0" borderId="36" xfId="57" applyFont="1" applyBorder="1" applyAlignment="1">
      <alignment horizontal="center" wrapText="1"/>
      <protection/>
    </xf>
    <xf numFmtId="0" fontId="2" fillId="0" borderId="36" xfId="57" applyFont="1" applyBorder="1" applyAlignment="1">
      <alignment horizontal="center" wrapText="1"/>
      <protection/>
    </xf>
    <xf numFmtId="0" fontId="0" fillId="0" borderId="0" xfId="57" applyAlignment="1">
      <alignment vertical="center" wrapText="1"/>
      <protection/>
    </xf>
    <xf numFmtId="0" fontId="0" fillId="0" borderId="36" xfId="57" applyBorder="1" applyAlignment="1">
      <alignment horizontal="center" vertical="center" wrapText="1"/>
      <protection/>
    </xf>
    <xf numFmtId="0" fontId="0" fillId="0" borderId="37" xfId="57" applyBorder="1" applyAlignment="1">
      <alignment horizontal="center" vertical="center" wrapText="1"/>
      <protection/>
    </xf>
    <xf numFmtId="0" fontId="5" fillId="43" borderId="36" xfId="57" applyFont="1" applyFill="1" applyBorder="1" applyAlignment="1">
      <alignment horizontal="center" wrapText="1"/>
      <protection/>
    </xf>
    <xf numFmtId="0" fontId="5" fillId="43" borderId="55" xfId="57" applyFont="1" applyFill="1" applyBorder="1" applyAlignment="1">
      <alignment horizontal="center" wrapText="1"/>
      <protection/>
    </xf>
    <xf numFmtId="0" fontId="5" fillId="43" borderId="73" xfId="57" applyFont="1" applyFill="1" applyBorder="1" applyAlignment="1">
      <alignment horizontal="center" wrapText="1"/>
      <protection/>
    </xf>
    <xf numFmtId="0" fontId="5" fillId="43" borderId="74" xfId="57" applyFont="1" applyFill="1" applyBorder="1" applyAlignment="1">
      <alignment horizontal="center" wrapText="1"/>
      <protection/>
    </xf>
    <xf numFmtId="0" fontId="5" fillId="43" borderId="57" xfId="57" applyFont="1" applyFill="1" applyBorder="1" applyAlignment="1">
      <alignment horizontal="center" wrapText="1"/>
      <protection/>
    </xf>
    <xf numFmtId="0" fontId="0" fillId="0" borderId="75" xfId="57" applyBorder="1" applyAlignment="1">
      <alignment horizontal="center" vertical="center"/>
      <protection/>
    </xf>
    <xf numFmtId="0" fontId="0" fillId="0" borderId="76" xfId="57" applyBorder="1" applyAlignment="1">
      <alignment horizontal="center" vertical="center"/>
      <protection/>
    </xf>
    <xf numFmtId="0" fontId="0" fillId="0" borderId="36" xfId="57" applyBorder="1" applyAlignment="1">
      <alignment horizontal="center" vertical="center" textRotation="90"/>
      <protection/>
    </xf>
    <xf numFmtId="0" fontId="0" fillId="0" borderId="55" xfId="57" applyBorder="1" applyAlignment="1">
      <alignment wrapText="1"/>
      <protection/>
    </xf>
    <xf numFmtId="219" fontId="0" fillId="0" borderId="57" xfId="57" applyNumberFormat="1" applyBorder="1" applyAlignment="1">
      <alignment horizontal="center" wrapText="1"/>
      <protection/>
    </xf>
    <xf numFmtId="219" fontId="0" fillId="0" borderId="58" xfId="57" applyNumberFormat="1" applyBorder="1" applyAlignment="1">
      <alignment horizontal="center" wrapText="1"/>
      <protection/>
    </xf>
    <xf numFmtId="0" fontId="0" fillId="0" borderId="73" xfId="57" applyBorder="1" applyAlignment="1">
      <alignment wrapText="1"/>
      <protection/>
    </xf>
    <xf numFmtId="219" fontId="0" fillId="0" borderId="57" xfId="57" applyNumberFormat="1" applyBorder="1" applyAlignment="1">
      <alignment horizontal="right" wrapText="1"/>
      <protection/>
    </xf>
    <xf numFmtId="219" fontId="0" fillId="0" borderId="58" xfId="57" applyNumberFormat="1" applyBorder="1" applyAlignment="1">
      <alignment horizontal="right" wrapText="1"/>
      <protection/>
    </xf>
    <xf numFmtId="0" fontId="0" fillId="0" borderId="56" xfId="57" applyBorder="1" applyAlignment="1">
      <alignment wrapText="1"/>
      <protection/>
    </xf>
    <xf numFmtId="219" fontId="0" fillId="0" borderId="77" xfId="57" applyNumberFormat="1" applyBorder="1" applyAlignment="1">
      <alignment horizontal="right" wrapText="1"/>
      <protection/>
    </xf>
    <xf numFmtId="219" fontId="0" fillId="0" borderId="78" xfId="57" applyNumberFormat="1" applyBorder="1" applyAlignment="1">
      <alignment horizontal="right" wrapText="1"/>
      <protection/>
    </xf>
    <xf numFmtId="0" fontId="0" fillId="0" borderId="56" xfId="57" applyBorder="1" applyAlignment="1">
      <alignment horizontal="left" wrapText="1"/>
      <protection/>
    </xf>
    <xf numFmtId="0" fontId="0" fillId="0" borderId="73" xfId="57" applyBorder="1" applyAlignment="1">
      <alignment horizontal="left" wrapText="1"/>
      <protection/>
    </xf>
    <xf numFmtId="219" fontId="0" fillId="0" borderId="73" xfId="57" applyNumberFormat="1" applyBorder="1" applyAlignment="1">
      <alignment horizontal="center" wrapText="1"/>
      <protection/>
    </xf>
    <xf numFmtId="0" fontId="0" fillId="0" borderId="56" xfId="57" applyBorder="1" applyAlignment="1">
      <alignment horizontal="center" wrapText="1"/>
      <protection/>
    </xf>
    <xf numFmtId="0" fontId="0" fillId="0" borderId="73" xfId="57" applyBorder="1" applyAlignment="1">
      <alignment horizontal="center" wrapText="1"/>
      <protection/>
    </xf>
    <xf numFmtId="219" fontId="0" fillId="0" borderId="73" xfId="57" applyNumberFormat="1" applyBorder="1" applyAlignment="1">
      <alignment horizontal="right" wrapText="1"/>
      <protection/>
    </xf>
    <xf numFmtId="0" fontId="0" fillId="0" borderId="71" xfId="57" applyBorder="1" applyAlignment="1">
      <alignment horizontal="center" vertical="center" textRotation="90"/>
      <protection/>
    </xf>
    <xf numFmtId="0" fontId="0" fillId="0" borderId="57" xfId="57" applyBorder="1" applyAlignment="1">
      <alignment wrapText="1"/>
      <protection/>
    </xf>
    <xf numFmtId="0" fontId="0" fillId="0" borderId="79" xfId="57" applyBorder="1" applyAlignment="1">
      <alignment horizontal="center" vertical="center" textRotation="90"/>
      <protection/>
    </xf>
    <xf numFmtId="0" fontId="0" fillId="0" borderId="80" xfId="57" applyBorder="1" applyAlignment="1">
      <alignment horizontal="center" vertical="center" textRotation="90"/>
      <protection/>
    </xf>
    <xf numFmtId="0" fontId="0" fillId="0" borderId="81" xfId="57" applyBorder="1" applyAlignment="1">
      <alignment horizontal="center" vertical="center" textRotation="90"/>
      <protection/>
    </xf>
    <xf numFmtId="219" fontId="0" fillId="43" borderId="57" xfId="57" applyNumberFormat="1" applyFill="1" applyBorder="1" applyAlignment="1">
      <alignment horizontal="right" wrapText="1"/>
      <protection/>
    </xf>
    <xf numFmtId="0" fontId="0" fillId="0" borderId="77" xfId="57" applyBorder="1" applyAlignment="1">
      <alignment horizontal="center" wrapText="1"/>
      <protection/>
    </xf>
  </cellXfs>
  <cellStyles count="6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2 2" xfId="50"/>
    <cellStyle name="Moeda 2 3" xfId="51"/>
    <cellStyle name="Moeda 3" xfId="52"/>
    <cellStyle name="Moeda 4" xfId="53"/>
    <cellStyle name="Neutra" xfId="54"/>
    <cellStyle name="Normal 2" xfId="55"/>
    <cellStyle name="Normal 2 2" xfId="56"/>
    <cellStyle name="Normal 2 2 2" xfId="57"/>
    <cellStyle name="Normal 3" xfId="58"/>
    <cellStyle name="Normal 6" xfId="59"/>
    <cellStyle name="Nota" xfId="60"/>
    <cellStyle name="Percent" xfId="61"/>
    <cellStyle name="Porcentagem 2" xfId="62"/>
    <cellStyle name="Porcentagem 3" xfId="63"/>
    <cellStyle name="Saída" xfId="64"/>
    <cellStyle name="Comma [0]" xfId="65"/>
    <cellStyle name="Separador de milhares 2" xfId="66"/>
    <cellStyle name="Separador de milhares 2 2" xfId="67"/>
    <cellStyle name="Separador de milhares 2 2 2" xfId="68"/>
    <cellStyle name="Separador de milhares 2 2 3" xfId="69"/>
    <cellStyle name="Separador de milhares 2 3" xfId="70"/>
    <cellStyle name="Separador de milhares 2 4" xfId="71"/>
    <cellStyle name="Texto de Aviso" xfId="72"/>
    <cellStyle name="Texto Explicativo" xfId="73"/>
    <cellStyle name="Título" xfId="74"/>
    <cellStyle name="Título 1" xfId="75"/>
    <cellStyle name="Título 2" xfId="76"/>
    <cellStyle name="Título 3" xfId="77"/>
    <cellStyle name="Título 4" xfId="78"/>
    <cellStyle name="Total" xfId="79"/>
    <cellStyle name="Comma" xfId="80"/>
    <cellStyle name="Vírgula 2" xfId="81"/>
    <cellStyle name="Vírgula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66675</xdr:rowOff>
    </xdr:from>
    <xdr:to>
      <xdr:col>6</xdr:col>
      <xdr:colOff>933450</xdr:colOff>
      <xdr:row>34</xdr:row>
      <xdr:rowOff>95250</xdr:rowOff>
    </xdr:to>
    <xdr:sp>
      <xdr:nvSpPr>
        <xdr:cNvPr id="1" name="Rectangle 1"/>
        <xdr:cNvSpPr>
          <a:spLocks/>
        </xdr:cNvSpPr>
      </xdr:nvSpPr>
      <xdr:spPr>
        <a:xfrm>
          <a:off x="161925" y="3086100"/>
          <a:ext cx="9067800" cy="1781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Os parâmetros acima foram utilizados para as projeções de receitas e despesas, bem como para os cálculos em valores correntes e constantes, de acordo com sua pertinência, ou não com as origem/espécie/rubrica de receita e/ou grupo de natureza de despesa. </a:t>
          </a:r>
          <a:r>
            <a:rPr lang="en-US" cap="none" sz="1000" b="0" i="0" u="none" baseline="0">
              <a:solidFill>
                <a:srgbClr val="000000"/>
              </a:solidFill>
            </a:rPr>
            <a:t>
</a:t>
          </a:r>
          <a:r>
            <a:rPr lang="en-US" cap="none" sz="1100" b="0" i="0" u="none" baseline="0">
              <a:solidFill>
                <a:srgbClr val="000000"/>
              </a:solidFill>
            </a:rPr>
            <a:t>-Os dados de inflação, crescimento PIB e taxa de câmbio foram extraídos do Relatório de Mercado Focus de 16/09/2022. A taxa de Juros Selic média de anos passados, e corrente, foram extraídos do Siste de Expectativas de Mercado do Banco Central do Brasil (https://www3.bcb.gov.br/expectativas2/#/consultas). De anos futuros também foram coletados pelo Relatório de Mercado Focus de 16/09/2022.</a:t>
          </a:r>
          <a:r>
            <a:rPr lang="en-US" cap="none" sz="1000" b="0" i="0" u="none" baseline="0">
              <a:solidFill>
                <a:srgbClr val="000000"/>
              </a:solidFill>
            </a:rPr>
            <a:t>
</a:t>
          </a:r>
          <a:r>
            <a:rPr lang="en-US" cap="none" sz="1100" b="0" i="0" u="none" baseline="0">
              <a:solidFill>
                <a:srgbClr val="000000"/>
              </a:solidFill>
            </a:rPr>
            <a:t>-O aumento salarial de 7,89% previsto para 2023 refere-se na verdade à inflação de anos anteriores que por questões legais impeditivas não foram devidamente concedidas mas que estavam previstas e com suficiência financeira. </a:t>
          </a:r>
          <a:r>
            <a:rPr lang="en-US" cap="none" sz="1000" b="0" i="0" u="none" baseline="0">
              <a:solidFill>
                <a:srgbClr val="000000"/>
              </a:solidFill>
            </a:rPr>
            <a:t>
</a:t>
          </a:r>
          <a:r>
            <a:rPr lang="en-US" cap="none" sz="1100" b="0" i="0" u="none" baseline="0">
              <a:solidFill>
                <a:srgbClr val="000000"/>
              </a:solidFill>
            </a:rPr>
            <a:t>-Crescimento vegetativo folha salarial com base no Relatório da Avaliação Atuarial, sendo 1,41% ao ano para quadro geral e 1,64% para o magistério, dado que 50% do quadro corresponde ao magistério, adotou-se o percentual proporcional de 1,52%.</a:t>
          </a:r>
        </a:p>
      </xdr:txBody>
    </xdr:sp>
    <xdr:clientData/>
  </xdr:twoCellAnchor>
  <xdr:twoCellAnchor>
    <xdr:from>
      <xdr:col>6</xdr:col>
      <xdr:colOff>371475</xdr:colOff>
      <xdr:row>26</xdr:row>
      <xdr:rowOff>0</xdr:rowOff>
    </xdr:from>
    <xdr:to>
      <xdr:col>6</xdr:col>
      <xdr:colOff>381000</xdr:colOff>
      <xdr:row>26</xdr:row>
      <xdr:rowOff>0</xdr:rowOff>
    </xdr:to>
    <xdr:sp>
      <xdr:nvSpPr>
        <xdr:cNvPr id="2"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29</xdr:row>
      <xdr:rowOff>76200</xdr:rowOff>
    </xdr:from>
    <xdr:to>
      <xdr:col>6</xdr:col>
      <xdr:colOff>47625</xdr:colOff>
      <xdr:row>68</xdr:row>
      <xdr:rowOff>95250</xdr:rowOff>
    </xdr:to>
    <xdr:sp>
      <xdr:nvSpPr>
        <xdr:cNvPr id="1" name="Rectangle 1"/>
        <xdr:cNvSpPr>
          <a:spLocks/>
        </xdr:cNvSpPr>
      </xdr:nvSpPr>
      <xdr:spPr>
        <a:xfrm>
          <a:off x="304800" y="7686675"/>
          <a:ext cx="6076950"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pelos arts. 13 e, 60 do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r>
            <a:rPr lang="en-US" cap="none" sz="1100" b="0" i="0" u="none" baseline="0">
              <a:solidFill>
                <a:srgbClr val="000000"/>
              </a:solidFill>
            </a:rPr>
            <a:t>
</a:t>
          </a:r>
          <a:r>
            <a:rPr lang="en-US" cap="none" sz="1100" b="0" i="0" u="none" baseline="0">
              <a:solidFill>
                <a:srgbClr val="000000"/>
              </a:solidFill>
            </a:rPr>
            <a:t>https://agenciabrasil.ebc.com.br/economia/noticia/2022-08/mercado-financeiro-reduz-projecao-da-inflacao-de-715-para-711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47</xdr:row>
      <xdr:rowOff>28575</xdr:rowOff>
    </xdr:to>
    <xdr:sp>
      <xdr:nvSpPr>
        <xdr:cNvPr id="1" name="Rectangle 1"/>
        <xdr:cNvSpPr>
          <a:spLocks/>
        </xdr:cNvSpPr>
      </xdr:nvSpPr>
      <xdr:spPr>
        <a:xfrm>
          <a:off x="123825" y="4876800"/>
          <a:ext cx="6429375" cy="3505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 A Demonstração da margem de expansão das despesas obrigatórias de caráter continuado visa a assegurar que não haverá criação de nova despesa sem a correspondente fonte de financiamento. 
</a:t>
          </a:r>
          <a:r>
            <a:rPr lang="en-US" cap="none" sz="1200" b="0" i="0" u="none" baseline="0">
              <a:solidFill>
                <a:srgbClr val="000000"/>
              </a:solidFill>
            </a:rPr>
            <a:t>
</a:t>
          </a:r>
          <a:r>
            <a:rPr lang="en-US" cap="none" sz="1200" b="0" i="0" u="none" baseline="0">
              <a:solidFill>
                <a:srgbClr val="000000"/>
              </a:solidFil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200" b="0" i="0" u="none" baseline="0">
              <a:solidFill>
                <a:srgbClr val="000000"/>
              </a:solidFill>
              <a:latin typeface="Arial"/>
              <a:ea typeface="Arial"/>
              <a:cs typeface="Arial"/>
            </a:rPr>
            <a:t>§</a:t>
          </a:r>
          <a:r>
            <a:rPr lang="en-US" cap="none" sz="1200" b="0" i="0" u="none" baseline="0">
              <a:solidFill>
                <a:srgbClr val="000000"/>
              </a:solidFill>
            </a:rPr>
            <a:t> 2º, inciso V da LRF.
</a:t>
          </a:r>
          <a:r>
            <a:rPr lang="en-US" cap="none" sz="1200" b="0" i="0" u="none" baseline="0">
              <a:solidFill>
                <a:srgbClr val="000000"/>
              </a:solidFill>
            </a:rPr>
            <a:t>
</a:t>
          </a:r>
          <a:r>
            <a:rPr lang="en-US" cap="none" sz="1200" b="0" i="0" u="none" baseline="0">
              <a:solidFill>
                <a:srgbClr val="000000"/>
              </a:solidFill>
            </a:rPr>
            <a:t>Desse modo, para estimar o aumento permanente das receitas em 2023 considerou-se o incremento real, ou seja, a diferença entre os valores estimados a preços constantes das receitas  trbutárias e de transferências correntes, no biênio 2022-2023.
</a:t>
          </a:r>
          <a:r>
            <a:rPr lang="en-US" cap="none" sz="1200" b="0" i="0" u="none" baseline="0">
              <a:solidFill>
                <a:srgbClr val="000000"/>
              </a:solidFill>
            </a:rPr>
            <a:t>
</a:t>
          </a:r>
          <a:r>
            <a:rPr lang="en-US" cap="none" sz="1200" b="0" i="0" u="none" baseline="0">
              <a:solidFill>
                <a:srgbClr val="000000"/>
              </a:solidFill>
            </a:rPr>
            <a:t>Na mesma linha, o aumento permandente das despesas de caráter obrigatório que terão impacto em 2023, foi calculado pela diferença a valores constantes, observada no biênio 2021-2022 nos grupos de natureza de despesa "Pessoal" e "Outras Despesas Correntes", chegando-se, assim, ao saldo da margem líquida de expansão.  Quando negativo (</a:t>
          </a:r>
          <a:r>
            <a:rPr lang="en-US" cap="none" sz="1200" b="1" i="0" u="none" baseline="0">
              <a:solidFill>
                <a:srgbClr val="000000"/>
              </a:solidFill>
            </a:rPr>
            <a:t>SEM MARGEM</a:t>
          </a:r>
          <a:r>
            <a:rPr lang="en-US" cap="none" sz="1200" b="0" i="0" u="none" baseline="0">
              <a:solidFill>
                <a:srgbClr val="000000"/>
              </a:solidFill>
            </a:rPr>
            <a:t>), o resultado apresentado </a:t>
          </a:r>
          <a:r>
            <a:rPr lang="en-US" cap="none" sz="1200" b="0" i="0" u="none" baseline="0">
              <a:solidFill>
                <a:srgbClr val="000000"/>
              </a:solidFill>
            </a:rPr>
            <a:t>é meramente indicativo de alerta para a criação de novas DOCC</a:t>
          </a:r>
          <a:r>
            <a:rPr lang="en-US" cap="none" sz="1200" b="1" i="0" u="none" baseline="0">
              <a:solidFill>
                <a:srgbClr val="000000"/>
              </a:solidFill>
            </a:rPr>
            <a:t>.  Quando for positivo </a:t>
          </a:r>
          <a:r>
            <a:rPr lang="en-US" cap="none" sz="1200" b="0" i="0" u="none" baseline="0">
              <a:solidFill>
                <a:srgbClr val="000000"/>
              </a:solidFill>
            </a:rPr>
            <a:t>é indicativo da possibilidade</a:t>
          </a:r>
          <a:r>
            <a:rPr lang="en-US" cap="none" sz="1200" b="0" i="0" u="none" baseline="0">
              <a:solidFill>
                <a:srgbClr val="000000"/>
              </a:solidFill>
            </a:rPr>
            <a:t> de </a:t>
          </a:r>
          <a:r>
            <a:rPr lang="en-US" cap="none" sz="1200" b="0" i="0" u="none" baseline="0">
              <a:solidFill>
                <a:srgbClr val="000000"/>
              </a:solidFill>
            </a:rPr>
            <a:t>criação de novas DOCC.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40</xdr:row>
      <xdr:rowOff>47625</xdr:rowOff>
    </xdr:to>
    <xdr:sp>
      <xdr:nvSpPr>
        <xdr:cNvPr id="1" name="Rectangle 2"/>
        <xdr:cNvSpPr>
          <a:spLocks/>
        </xdr:cNvSpPr>
      </xdr:nvSpPr>
      <xdr:spPr>
        <a:xfrm>
          <a:off x="180975" y="5848350"/>
          <a:ext cx="6791325" cy="2076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1 - Os valores referente aos </a:t>
          </a:r>
          <a:r>
            <a:rPr lang="en-US" cap="none" sz="1000" b="1" i="0" u="none" baseline="0">
              <a:solidFill>
                <a:srgbClr val="000000"/>
              </a:solidFill>
              <a:latin typeface="Arial"/>
              <a:ea typeface="Arial"/>
              <a:cs typeface="Arial"/>
            </a:rPr>
            <a:t>PASSIVOS CONTINGENTES</a:t>
          </a:r>
          <a:r>
            <a:rPr lang="en-US" cap="none" sz="1000" b="0" i="0" u="none" baseline="0">
              <a:solidFill>
                <a:srgbClr val="000000"/>
              </a:solidFill>
              <a:latin typeface="Arial"/>
              <a:ea typeface="Arial"/>
              <a:cs typeface="Arial"/>
            </a:rPr>
            <a:t>, representam a estimativa de </a:t>
          </a:r>
          <a:r>
            <a:rPr lang="en-US" cap="none" sz="1100" b="0" i="0" u="none" baseline="0">
              <a:solidFill>
                <a:srgbClr val="000000"/>
              </a:solidFill>
            </a:rPr>
            <a:t>possível obrigações em 2023,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2023.                                                                                                           2 -  Os </a:t>
          </a:r>
          <a:r>
            <a:rPr lang="en-US" cap="none" sz="1100" b="1" i="0" u="none" baseline="0">
              <a:solidFill>
                <a:srgbClr val="000000"/>
              </a:solidFill>
            </a:rPr>
            <a:t>DEMAIS RISCOS FISCAIS PASSIVOS </a:t>
          </a:r>
          <a:r>
            <a:rPr lang="en-US" cap="none" sz="11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1100" b="0" i="0" u="none" baseline="0">
              <a:solidFill>
                <a:srgbClr val="000000"/>
              </a:solidFill>
            </a:rPr>
            <a:t>fixadas (abertura de créditos especiais e/opu extraordinários) ou orçadas a menor (créditos suplementares).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27</xdr:row>
      <xdr:rowOff>142875</xdr:rowOff>
    </xdr:from>
    <xdr:to>
      <xdr:col>6</xdr:col>
      <xdr:colOff>485775</xdr:colOff>
      <xdr:row>37</xdr:row>
      <xdr:rowOff>114300</xdr:rowOff>
    </xdr:to>
    <xdr:sp>
      <xdr:nvSpPr>
        <xdr:cNvPr id="1" name="Rectangle 6"/>
        <xdr:cNvSpPr>
          <a:spLocks/>
        </xdr:cNvSpPr>
      </xdr:nvSpPr>
      <xdr:spPr>
        <a:xfrm>
          <a:off x="342900" y="5695950"/>
          <a:ext cx="8953500"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104775</xdr:rowOff>
    </xdr:from>
    <xdr:to>
      <xdr:col>13</xdr:col>
      <xdr:colOff>95250</xdr:colOff>
      <xdr:row>83</xdr:row>
      <xdr:rowOff>95250</xdr:rowOff>
    </xdr:to>
    <xdr:sp>
      <xdr:nvSpPr>
        <xdr:cNvPr id="1" name="Rectangle 3"/>
        <xdr:cNvSpPr>
          <a:spLocks/>
        </xdr:cNvSpPr>
      </xdr:nvSpPr>
      <xdr:spPr>
        <a:xfrm>
          <a:off x="76200" y="7067550"/>
          <a:ext cx="13344525" cy="7600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Item 02.00.02.01 do Manual dos Demonstrativos Fiscais, as METAS FISCAIS representam os resultados a serem alcançados para variáveis fiscais visando atingir os objetivos desejados quanto à trajetória de endividamento no médio prazo. Pelo princípio da gestão fiscal responsável, as metas representam a conexão entre o planejamento, a elaboração e a execução do orçamento. Esses parâmetros indicam os rumos da condução da política fiscal para os próximos exercícios e servem de indicadores para a promoção da limitação de empenho e de movimentação financeira.</a:t>
          </a:r>
          <a:r>
            <a:rPr lang="en-US" cap="none" sz="1100" b="0" i="0" u="none" baseline="0">
              <a:solidFill>
                <a:srgbClr val="000000"/>
              </a:solidFill>
            </a:rPr>
            <a:t>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ressaltando-se que, para fins de equilibrio formal entre os valores previstos, e de acordo com as instruções do Item 03.06.05.01 do Manual dos Demonstrativbos Fiscais, os valores projetados da Reserva de Contingência estão sendo somados às despesas primárias.
</a:t>
          </a:r>
          <a:r>
            <a:rPr lang="en-US" cap="none" sz="1100" b="0" i="0" u="none" baseline="0">
              <a:solidFill>
                <a:srgbClr val="000000"/>
              </a:solidFill>
            </a:rPr>
            <a:t>4 – o resultado nominal que, para fins do Anexo e avaliação das metas fiscais deve ser calculado pelo critério ACIMA DA LINHA foi obtido a partir do resultado primário somado ao resultado da comperação entre  os juros ativos e passivos, representado a variação do estoque da dívida;                                                                                                                                                                                                                                                                                                                                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(2019, 2020 e 2021) e os valores reestimados para o exercício atual (2022),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Quanto aos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2023, 2024 e 2025, considerou-se um crescimento do Produto Interno Bruto nacional de 0,50%, 1,70% e 2,00% e das taxas de inflação (IPCA), de 5,01%, 3,50% e 3,00 %, respectivamente, cujas projeções decorrem do sistema de expectativa de mercado, segundo informações do sítio do Banco Central do Brasil, verificadas em 16/09/2022.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a:t>
          </a:r>
          <a:r>
            <a:rPr lang="en-US" cap="none" sz="1100" b="0" i="0" u="none" baseline="0">
              <a:solidFill>
                <a:srgbClr val="000000"/>
              </a:solidFill>
            </a:rPr>
            <a:t>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924/2021.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2023.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utilizou-se, como parâmetro de correção a previsão da média anual para a taxa de juros SELIC,  de 11,25%, 8,00% e 7,50%, segundo informações do sítio do Banco Central do Brasil, verificadas em  16/09/2022.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o provável saldo existente em 31/12/2022,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2023, consideradas todas as fontes de recursos é de R$ 147.945.490,15, a preços correntes que, deduzidas das receitas financeiras, representadas pelos Rendimentos das Aplicações Financeiras (R$ 8.537.113,63) e das resultantes de Amortização de Empréstimos Concedidos (R$11.840,85), </a:t>
          </a:r>
          <a:r>
            <a:rPr lang="en-US" cap="none" sz="1100" b="0" i="0" u="none" baseline="0">
              <a:solidFill>
                <a:srgbClr val="000000"/>
              </a:solidFill>
            </a:rPr>
            <a:t>e ainda a dedução das receitas intraorçamentárias (R$ 10.767.470,46)</a:t>
          </a:r>
          <a:r>
            <a:rPr lang="en-US" cap="none" sz="1100" b="0" i="0" u="none" baseline="0">
              <a:solidFill>
                <a:srgbClr val="000000"/>
              </a:solidFill>
            </a:rPr>
            <a:t>,  resultam numa Receita Primária de R$ 128.629.065,21.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a:t>
          </a:r>
          <a:r>
            <a:rPr lang="en-US" cap="none" sz="1100" b="1" i="0" u="none" baseline="0">
              <a:solidFill>
                <a:srgbClr val="000000"/>
              </a:solidFill>
            </a:rPr>
            <a:t>manter, ou ainda, ampliar a capacidade própria de investimentos</a:t>
          </a:r>
          <a:r>
            <a:rPr lang="en-US" cap="none" sz="1100" b="0" i="0" u="none" baseline="0">
              <a:solidFill>
                <a:srgbClr val="000000"/>
              </a:solidFill>
            </a:rPr>
            <a:t>, sem comprometer o equilíbrio financeiro. Assim, consideradas todas as fontes de recursos, a despesa total está prevista em R$ 147.945.490,15. Deduzindo-se as despesas financeiras com juros e encargos da dívida, estimadas em R$ 56.624,79, mais as despesas com a Amortização da Dívida Publica, estimada em R$ 586.993,07, </a:t>
          </a:r>
          <a:r>
            <a:rPr lang="en-US" cap="none" sz="1100" b="0" i="0" u="none" baseline="0">
              <a:solidFill>
                <a:srgbClr val="000000"/>
              </a:solidFill>
            </a:rPr>
            <a:t>a reserva orçamentária estimada para o RPPS  em R$ 15.250.602,90</a:t>
          </a:r>
          <a:r>
            <a:rPr lang="en-US" cap="none" sz="1100" b="0" i="0" u="none" baseline="0">
              <a:solidFill>
                <a:srgbClr val="000000"/>
              </a:solidFill>
            </a:rPr>
            <a:t>, </a:t>
          </a:r>
          <a:r>
            <a:rPr lang="en-US" cap="none" sz="1100" b="0" i="0" u="none" baseline="0">
              <a:solidFill>
                <a:srgbClr val="000000"/>
              </a:solidFill>
            </a:rPr>
            <a:t>ainda, as despesas intraorçamentárias R$ 8.494.197,92</a:t>
          </a:r>
          <a:r>
            <a:rPr lang="en-US" cap="none" sz="1100" b="0" i="0" u="none" baseline="0">
              <a:solidFill>
                <a:srgbClr val="000000"/>
              </a:solidFill>
            </a:rPr>
            <a:t>,   tem-se que as despesas primárias para 2023 foram previstas em R$ 123.557.071,47.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2023 que foi inicialmente prevista em R$ 5.071.993,74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18</xdr:row>
      <xdr:rowOff>47625</xdr:rowOff>
    </xdr:from>
    <xdr:to>
      <xdr:col>9</xdr:col>
      <xdr:colOff>409575</xdr:colOff>
      <xdr:row>22</xdr:row>
      <xdr:rowOff>57150</xdr:rowOff>
    </xdr:to>
    <xdr:sp>
      <xdr:nvSpPr>
        <xdr:cNvPr id="1" name="Rectangle 1"/>
        <xdr:cNvSpPr>
          <a:spLocks/>
        </xdr:cNvSpPr>
      </xdr:nvSpPr>
      <xdr:spPr>
        <a:xfrm>
          <a:off x="200025" y="3600450"/>
          <a:ext cx="9972675"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57150</xdr:rowOff>
    </xdr:from>
    <xdr:to>
      <xdr:col>8</xdr:col>
      <xdr:colOff>638175</xdr:colOff>
      <xdr:row>51</xdr:row>
      <xdr:rowOff>57150</xdr:rowOff>
    </xdr:to>
    <xdr:sp>
      <xdr:nvSpPr>
        <xdr:cNvPr id="1" name="Rectangle 1"/>
        <xdr:cNvSpPr>
          <a:spLocks/>
        </xdr:cNvSpPr>
      </xdr:nvSpPr>
      <xdr:spPr>
        <a:xfrm>
          <a:off x="47625" y="4124325"/>
          <a:ext cx="7867650" cy="4857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(2021),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r>
            <a:rPr lang="en-US" cap="none" sz="1100" b="0" i="0" u="none" baseline="0">
              <a:solidFill>
                <a:srgbClr val="000000"/>
              </a:solidFill>
            </a:rPr>
            <a:t>Assim, conforme demonstrado em audiência pública de avaliação das metas fiscais relativas ao terceiro quadrimestre do exercício financeiro de 2021 (art. 9º, </a:t>
          </a:r>
          <a:r>
            <a:rPr lang="en-US" cap="none" sz="1100" b="0" i="0" u="none" baseline="0">
              <a:solidFill>
                <a:srgbClr val="000000"/>
              </a:solidFill>
            </a:rPr>
            <a:t>§</a:t>
          </a:r>
          <a:r>
            <a:rPr lang="en-US" cap="none" sz="1100" b="0" i="0" u="none" baseline="0">
              <a:solidFill>
                <a:srgbClr val="000000"/>
              </a:solidFill>
            </a:rPr>
            <a:t> 4º da LRF), o resultado primário,  ficou em R$ 20.531.730,53, valor 213,8% superior à meta estabelecida para o ano, que era de R$ 6.542.930,23. O desempenho verificado demonstra que o ingresso das receitas primárias (não financeiras)  foi capaz de suportar o total das despesas primárias (não financeiras) do exercício.
</a:t>
          </a:r>
          <a:r>
            <a:rPr lang="en-US" cap="none" sz="1100" b="0" i="0" u="none" baseline="0">
              <a:solidFill>
                <a:srgbClr val="000000"/>
              </a:solidFill>
            </a:rPr>
            <a:t> 
</a:t>
          </a:r>
          <a:r>
            <a:rPr lang="en-US" cap="none" sz="1100" b="0" i="0" u="none" baseline="0">
              <a:solidFill>
                <a:srgbClr val="000000"/>
              </a:solidFill>
            </a:rPr>
            <a:t>As receitas não financeiras totalizaram R$107.805.280,68, superando  em 19,75% a projeção para o período de R$ 90.020.162,67. As despesas não financeiras atingiram R$ 87.273.550,15,  estabelecendo-se  4,54%acima da previsão orçamentária. Não obstante a sua expansão corresponderam a 3,52 % do total das receitas primárias e dado que houve um percentual bem superior de receita realizada em relação á prevista, essa expansão das despesas financeiras não foi capaz de  comprometer a obtenção do superávit primário.
</a:t>
          </a:r>
          <a:r>
            <a:rPr lang="en-US" cap="none" sz="1100" b="0" i="0" u="none" baseline="0">
              <a:solidFill>
                <a:srgbClr val="000000"/>
              </a:solidFill>
            </a:rPr>
            <a:t> 
</a:t>
          </a:r>
          <a:r>
            <a:rPr lang="en-US" cap="none" sz="1100" b="0" i="0" u="none" baseline="0">
              <a:solidFill>
                <a:srgbClr val="000000"/>
              </a:solidFill>
            </a:rPr>
            <a:t>Esse resultado se deve pelo desempenho  favorável apresentado pela receita, tendo sido fortemente condicionado pelo comportamento das receitas correntes, que apresentaram um  incremento de 16,42% em relação ao valor consignado no orçamento. Destaca-se no exercício de 2021 o desempenho das transferências correntes, que superaram a expectativa, respectivamente, em 29,93%. 
</a:t>
          </a:r>
          <a:r>
            <a:rPr lang="en-US" cap="none" sz="1100" b="0" i="0" u="none" baseline="0">
              <a:solidFill>
                <a:srgbClr val="000000"/>
              </a:solidFill>
            </a:rPr>
            <a:t>A dívida consolidada totalizou R$ 1.012.500,00, valor 17,86% superior ao saldo de R$ 859.086,75 estimado para o exercício. Tal comportamento é reflexo da projeção consignada na Lei do Orçamento basear-se pela médias dos últimos 3 anos, sendo que a amortização executada em 2021 não foi suficiente para alcançar a média projetada.
</a:t>
          </a:r>
          <a:r>
            <a:rPr lang="en-US" cap="none" sz="1100" b="0" i="0" u="none" baseline="0">
              <a:solidFill>
                <a:srgbClr val="000000"/>
              </a:solidFill>
            </a:rPr>
            <a:t> 
</a:t>
          </a:r>
          <a:r>
            <a:rPr lang="en-US" cap="none" sz="1100" b="0" i="0" u="none" baseline="0">
              <a:solidFill>
                <a:srgbClr val="000000"/>
              </a:solidFill>
            </a:rPr>
            <a:t>No anexo de metas fiscais, que acompanhou a LDO para 2021, estipulou-se o montante da dívida fiscal líquida em negativo, o que equivale à dívida nula. Isso ocorre quando a disponibilidade de caixa líquida é superior a dívida pública. Para fins gerenciais nota-se que a disponibilidade líquida foi bastante superior ao previsto, já que a dívida consolidada líquida negativa aumentou consideravelmente. Contudo, os resultados efetivamente apurados e especificados no Relatório Resumido de Execução Orçamentária, e avaliados ao final daquele exercício apontam que o estoque da dívida, atualizado em dezembro daquele ano era de R$ 1.012.500,00 que, comparado com o montante apurado ao final  do ano anterior (2020,) apresentou um decréscimo de R$ 337.500,00, valor este, que, de acordo com os conceitos estabelecidos no Manual dos Demonstrativos Fiscais, representa o Resultado Nominal pelo criterio Abaixo da Linha.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44</xdr:row>
      <xdr:rowOff>66675</xdr:rowOff>
    </xdr:to>
    <xdr:sp>
      <xdr:nvSpPr>
        <xdr:cNvPr id="1" name="Rectangle 1"/>
        <xdr:cNvSpPr>
          <a:spLocks/>
        </xdr:cNvSpPr>
      </xdr:nvSpPr>
      <xdr:spPr>
        <a:xfrm>
          <a:off x="266700" y="5429250"/>
          <a:ext cx="10687050"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Manualç dos DEmonstrativos Fiscais da STN, o objetivo do Demonstrativo é </a:t>
          </a:r>
          <a:r>
            <a:rPr lang="en-US" cap="none" sz="1100" b="1" i="0" u="none" baseline="0">
              <a:solidFill>
                <a:srgbClr val="000000"/>
              </a:solidFill>
            </a:rPr>
            <a:t>dar transparência às </a:t>
          </a:r>
          <a:r>
            <a:rPr lang="en-US" cap="none" sz="11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a:t>
          </a:r>
          <a:r>
            <a:rPr lang="en-US" cap="none" sz="1100" b="0" i="0" u="none" baseline="0">
              <a:solidFill>
                <a:srgbClr val="000000"/>
              </a:solidFill>
            </a:rPr>
            <a:t>perspectivas futuras, validando a consistência dessas últimas.  Assim, são demonstradas </a:t>
          </a:r>
          <a:r>
            <a:rPr lang="en-US" cap="none" sz="1000" b="0" i="0" u="none" baseline="0">
              <a:solidFill>
                <a:srgbClr val="000000"/>
              </a:solidFill>
              <a:latin typeface="Arial"/>
              <a:ea typeface="Arial"/>
              <a:cs typeface="Arial"/>
            </a:rPr>
            <a:t>as metas fiscais previstas para o exercício da LDO (2023), em comparação com as estabelecidas para os três exercícios anteriores  (2020, 2021 e 2022), bem como para os dois seguintes (2024 e 2025),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2020, 2021 e 2022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2023, 2024 e 2025,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66675</xdr:rowOff>
    </xdr:from>
    <xdr:to>
      <xdr:col>6</xdr:col>
      <xdr:colOff>647700</xdr:colOff>
      <xdr:row>61</xdr:row>
      <xdr:rowOff>47625</xdr:rowOff>
    </xdr:to>
    <xdr:sp>
      <xdr:nvSpPr>
        <xdr:cNvPr id="1" name="Rectangle 1"/>
        <xdr:cNvSpPr>
          <a:spLocks/>
        </xdr:cNvSpPr>
      </xdr:nvSpPr>
      <xdr:spPr>
        <a:xfrm>
          <a:off x="142875" y="6438900"/>
          <a:ext cx="7419975" cy="500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(2019, 2020 e 2021), para fins do disposto no art. 4º, </a:t>
          </a:r>
          <a:r>
            <a:rPr lang="en-US" cap="none" sz="1100" b="0" i="0" u="none" baseline="0">
              <a:solidFill>
                <a:srgbClr val="000000"/>
              </a:solidFil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a:t>
          </a:r>
          <a:r>
            <a:rPr lang="en-US" cap="none" sz="1100" b="1" i="0" u="none" baseline="0">
              <a:solidFill>
                <a:srgbClr val="000000"/>
              </a:solidFill>
            </a:rPr>
            <a:t>foram considerados os valores de ajustes de exercícios anteriores</a:t>
          </a:r>
          <a:r>
            <a:rPr lang="en-US" cap="none" sz="1100" b="0" i="0" u="none" baseline="0">
              <a:solidFill>
                <a:srgbClr val="000000"/>
              </a:solidFill>
            </a:rPr>
            <a:t>,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É preciso enfatizar que a Administrão</a:t>
          </a:r>
          <a:r>
            <a:rPr lang="en-US" cap="none" sz="1100" b="0" i="0" u="none" baseline="0">
              <a:solidFill>
                <a:srgbClr val="000000"/>
              </a:solidFill>
            </a:rPr>
            <a:t> Direta d</a:t>
          </a:r>
          <a:r>
            <a:rPr lang="en-US" cap="none" sz="1100" b="0" i="0" u="none" baseline="0">
              <a:solidFill>
                <a:srgbClr val="000000"/>
              </a:solidFill>
            </a:rPr>
            <a:t>o Município, bem como</a:t>
          </a:r>
          <a:r>
            <a:rPr lang="en-US" cap="none" sz="1100" b="0" i="0" u="none" baseline="0">
              <a:solidFill>
                <a:srgbClr val="000000"/>
              </a:solidFill>
            </a:rPr>
            <a:t> as Autarquias e as Fundações Públicas, </a:t>
          </a:r>
          <a:r>
            <a:rPr lang="en-US" cap="none" sz="1100" b="0" i="0" u="none" baseline="0">
              <a:solidFill>
                <a:srgbClr val="000000"/>
              </a:solidFill>
            </a:rPr>
            <a:t> seguem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O Sistema de Previdência, por força da Lei Municipal nº 2374, está sobre a gestão do Fundo de Previdência</a:t>
          </a:r>
          <a:r>
            <a:rPr lang="en-US" cap="none" sz="1100" b="0" i="0" u="none" baseline="0">
              <a:solidFill>
                <a:srgbClr val="000000"/>
              </a:solidFill>
            </a:rPr>
            <a:t> do Município de Ivoti</a:t>
          </a:r>
          <a:r>
            <a:rPr lang="en-US" cap="none" sz="1100" b="0" i="0" u="none" baseline="0">
              <a:solidFill>
                <a:srgbClr val="000000"/>
              </a:solidFill>
            </a:rPr>
            <a:t>, sendo que seus registros contábeis estão em conformidade com as Normas do Ministério da Previdência Social e apartados das demais contas do Município.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2019 a 2021, aponta que o saldo patrimonial decresceu  de R$  114.955.255,52 em 31.12.2019 para R$ 110.286.118,66 em 31.12.2021.   
</a:t>
          </a:r>
          <a:r>
            <a:rPr lang="en-US" cap="none" sz="1100" b="0" i="0" u="none" baseline="0">
              <a:solidFill>
                <a:srgbClr val="000000"/>
              </a:solidFill>
            </a:rPr>
            <a:t> 
</a:t>
          </a:r>
          <a:r>
            <a:rPr lang="en-US" cap="none" sz="1100" b="0" i="0" u="none" baseline="0">
              <a:solidFill>
                <a:srgbClr val="000000"/>
              </a:solidFill>
            </a:rPr>
            <a:t>Ainda, conforme pode ser observado, o Município encerrou as contas de 2021 com superavit  patrimonial,  cujo principal fator foram ajustes de exercícios de anteriores lançados na contabilidade do fundo de previdência em decorrência de alteração no cálculo atuarial do ano de 2019.</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152400</xdr:rowOff>
    </xdr:from>
    <xdr:to>
      <xdr:col>3</xdr:col>
      <xdr:colOff>914400</xdr:colOff>
      <xdr:row>39</xdr:row>
      <xdr:rowOff>142875</xdr:rowOff>
    </xdr:to>
    <xdr:sp>
      <xdr:nvSpPr>
        <xdr:cNvPr id="1" name="Rectangle 1"/>
        <xdr:cNvSpPr>
          <a:spLocks/>
        </xdr:cNvSpPr>
      </xdr:nvSpPr>
      <xdr:spPr>
        <a:xfrm>
          <a:off x="114300" y="6324600"/>
          <a:ext cx="6657975"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(2019,  2020 e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160</xdr:row>
      <xdr:rowOff>85725</xdr:rowOff>
    </xdr:from>
    <xdr:to>
      <xdr:col>6</xdr:col>
      <xdr:colOff>161925</xdr:colOff>
      <xdr:row>182</xdr:row>
      <xdr:rowOff>28575</xdr:rowOff>
    </xdr:to>
    <xdr:sp>
      <xdr:nvSpPr>
        <xdr:cNvPr id="1" name="Rectangle 1"/>
        <xdr:cNvSpPr>
          <a:spLocks/>
        </xdr:cNvSpPr>
      </xdr:nvSpPr>
      <xdr:spPr>
        <a:xfrm>
          <a:off x="228600" y="24612600"/>
          <a:ext cx="7419975" cy="3086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2</a:t>
          </a:r>
          <a:r>
            <a:rPr lang="en-US" cap="none" sz="1000" b="0" i="0" u="none" baseline="0">
              <a:solidFill>
                <a:srgbClr val="000000"/>
              </a:solidFill>
            </a:rPr>
            <a:t>°</a:t>
          </a:r>
          <a:r>
            <a:rPr lang="en-US" cap="none" sz="10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a:t>
          </a:r>
          <a:r>
            <a:rPr lang="en-US" cap="none" sz="1100" b="0" i="0" u="none" baseline="0">
              <a:solidFill>
                <a:srgbClr val="000000"/>
              </a:solidFill>
            </a:rPr>
            <a:t>O objetivo principal é dar transparência à situação financeira e atuarial do RPPS para uma melhor avaliação do seu impacto nas metas fiscais fixadas, além de orientar a elaboração da LOA.</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000" b="0" i="0" u="none" baseline="0">
              <a:solidFill>
                <a:srgbClr val="000000"/>
              </a:solidFill>
            </a:rPr>
            <a:t> 
</a:t>
          </a:r>
          <a:r>
            <a:rPr lang="en-US" cap="none" sz="10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000" b="0" i="0" u="none" baseline="0">
              <a:solidFill>
                <a:srgbClr val="000000"/>
              </a:solidFill>
            </a:rPr>
            <a:t> 
</a:t>
          </a:r>
          <a:r>
            <a:rPr lang="en-US" cap="none" sz="1000" b="0" i="0" u="none" baseline="0">
              <a:solidFill>
                <a:srgbClr val="000000"/>
              </a:solidFill>
            </a:rPr>
            <a:t>Nesse contexto, os dados acima apresentados tiveram em como base:
</a:t>
          </a:r>
          <a:r>
            <a:rPr lang="en-US" cap="none" sz="10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2019, 2021 e 2021; e
</a:t>
          </a:r>
          <a:r>
            <a:rPr lang="en-US" cap="none" sz="1000" b="0" i="0" u="none" baseline="0">
              <a:solidFill>
                <a:srgbClr val="000000"/>
              </a:solidFill>
            </a:rPr>
            <a:t>b) o Anexo 10 do Relatório Resumido da Execução Orçamentária (RREO) - Demonstrativo da Projeção Atuarial do Regime de Previdência, publicado no último bimestre do exercício de 2021.
</a:t>
          </a:r>
          <a:r>
            <a:rPr lang="en-US" cap="none" sz="1000" b="0" i="0" u="none" baseline="0">
              <a:solidFill>
                <a:srgbClr val="000000"/>
              </a:solidFill>
            </a:rPr>
            <a:t> 
</a:t>
          </a:r>
        </a:p>
      </xdr:txBody>
    </xdr:sp>
    <xdr:clientData/>
  </xdr:twoCellAnchor>
  <xdr:twoCellAnchor editAs="oneCell">
    <xdr:from>
      <xdr:col>0</xdr:col>
      <xdr:colOff>542925</xdr:colOff>
      <xdr:row>90</xdr:row>
      <xdr:rowOff>19050</xdr:rowOff>
    </xdr:from>
    <xdr:to>
      <xdr:col>4</xdr:col>
      <xdr:colOff>666750</xdr:colOff>
      <xdr:row>160</xdr:row>
      <xdr:rowOff>19050</xdr:rowOff>
    </xdr:to>
    <xdr:pic>
      <xdr:nvPicPr>
        <xdr:cNvPr id="2" name="Imagem 3"/>
        <xdr:cNvPicPr preferRelativeResize="1">
          <a:picLocks noChangeAspect="1"/>
        </xdr:cNvPicPr>
      </xdr:nvPicPr>
      <xdr:blipFill>
        <a:blip r:embed="rId1"/>
        <a:stretch>
          <a:fillRect/>
        </a:stretch>
      </xdr:blipFill>
      <xdr:spPr>
        <a:xfrm>
          <a:off x="542925" y="14211300"/>
          <a:ext cx="6372225" cy="10334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zenda\AppData\Local\Temp\Anexos%20da%20LD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âmetros"/>
      <sheetName val="Projeções"/>
      <sheetName val="RCL"/>
      <sheetName val="Pessoal"/>
      <sheetName val="Dívida"/>
      <sheetName val="RPrim-Nom"/>
      <sheetName val="Metas Cons"/>
      <sheetName val="MetasRPPS"/>
      <sheetName val=" Avaliação"/>
      <sheetName val="Comparação"/>
      <sheetName val=" Patrimônio"/>
      <sheetName val=" Alienação"/>
      <sheetName val="RPPS-Fin-Atuarial"/>
      <sheetName val="Renúncia"/>
      <sheetName val="DOCC"/>
      <sheetName val="DOCC(alternativa)"/>
      <sheetName val="Anexo Riscos"/>
      <sheetName val="Anexo III - Metas e Prioridades"/>
      <sheetName val="Anexo IV - Consdo Patrimônio"/>
    </sheetNames>
    <sheetDataSet>
      <sheetData sheetId="0">
        <row r="7">
          <cell r="A7" t="str">
            <v>Município de :</v>
          </cell>
        </row>
      </sheetData>
      <sheetData sheetId="6">
        <row r="3">
          <cell r="A3" t="str">
            <v>ANEXO DE METAS FISCAIS</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7">
      <selection activeCell="A17" sqref="A17"/>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535" t="s">
        <v>666</v>
      </c>
      <c r="B7" s="536"/>
      <c r="C7" s="536"/>
      <c r="D7" s="536"/>
      <c r="E7" s="536"/>
      <c r="F7" s="536"/>
      <c r="G7" s="536"/>
      <c r="H7" s="536"/>
      <c r="I7" s="536"/>
      <c r="J7" s="537"/>
    </row>
    <row r="8" spans="1:10" ht="12">
      <c r="A8" s="538" t="s">
        <v>631</v>
      </c>
      <c r="B8" s="536"/>
      <c r="C8" s="536"/>
      <c r="D8" s="536"/>
      <c r="E8" s="536"/>
      <c r="F8" s="536"/>
      <c r="G8" s="536"/>
      <c r="H8" s="536"/>
      <c r="I8" s="536"/>
      <c r="J8" s="537"/>
    </row>
    <row r="9" spans="1:10" ht="21" customHeight="1">
      <c r="A9" s="539" t="s">
        <v>559</v>
      </c>
      <c r="B9" s="540"/>
      <c r="C9" s="540"/>
      <c r="D9" s="540"/>
      <c r="E9" s="540"/>
      <c r="F9" s="540"/>
      <c r="G9" s="540"/>
      <c r="H9" s="541"/>
      <c r="I9" s="541"/>
      <c r="J9" s="542"/>
    </row>
    <row r="10" spans="1:10" ht="25.5" customHeight="1">
      <c r="A10" s="223" t="s">
        <v>439</v>
      </c>
      <c r="B10" s="223">
        <v>2020</v>
      </c>
      <c r="C10" s="223">
        <f>B10+1</f>
        <v>2021</v>
      </c>
      <c r="D10" s="223">
        <f>C10+1</f>
        <v>2022</v>
      </c>
      <c r="E10" s="223">
        <f>D10+1</f>
        <v>2023</v>
      </c>
      <c r="F10" s="223">
        <f>E10+1</f>
        <v>2024</v>
      </c>
      <c r="G10" s="223">
        <f>F10+1</f>
        <v>2025</v>
      </c>
      <c r="H10" s="38"/>
      <c r="I10" s="38"/>
      <c r="J10" s="38"/>
    </row>
    <row r="11" spans="1:7" ht="12.75">
      <c r="A11" s="224" t="s">
        <v>123</v>
      </c>
      <c r="B11" s="225">
        <v>0.0452</v>
      </c>
      <c r="C11" s="226">
        <v>0.1006</v>
      </c>
      <c r="D11" s="226">
        <v>0.06</v>
      </c>
      <c r="E11" s="231">
        <v>0.0501</v>
      </c>
      <c r="F11" s="231">
        <v>0.035</v>
      </c>
      <c r="G11" s="231">
        <v>0.03</v>
      </c>
    </row>
    <row r="12" spans="1:7" ht="12.75">
      <c r="A12" s="224" t="s">
        <v>124</v>
      </c>
      <c r="B12" s="225">
        <v>-0.039</v>
      </c>
      <c r="C12" s="226">
        <v>0.046</v>
      </c>
      <c r="D12" s="226">
        <v>0.0265</v>
      </c>
      <c r="E12" s="231">
        <v>0.005</v>
      </c>
      <c r="F12" s="231">
        <v>0.017</v>
      </c>
      <c r="G12" s="231">
        <v>0.02</v>
      </c>
    </row>
    <row r="13" spans="1:7" ht="12.75">
      <c r="A13" s="227" t="s">
        <v>125</v>
      </c>
      <c r="B13" s="286">
        <f>IF(Projeções!D119=0,"0",((Projeções!E119/Projeções!D119)-1)-B11-B18)</f>
        <v>-0.018132341451558266</v>
      </c>
      <c r="C13" s="286">
        <f>IF(Projeções!E119=0,"0",((Projeções!F119/Projeções!E119)-1)-C11-C18)</f>
        <v>-0.09571362556440263</v>
      </c>
      <c r="D13" s="286">
        <f>IF(Projeções!F119=0,"0",((Projeções!G119/Projeções!F119)-1)-D11-D18)</f>
        <v>0.00021915892725538066</v>
      </c>
      <c r="E13" s="226">
        <v>0.0152</v>
      </c>
      <c r="F13" s="226">
        <v>0.0152</v>
      </c>
      <c r="G13" s="226">
        <v>0.0152</v>
      </c>
    </row>
    <row r="14" spans="1:7" ht="12.75">
      <c r="A14" s="228" t="s">
        <v>126</v>
      </c>
      <c r="B14" s="286">
        <f>IF(Projeções!D131=0,"0",((Projeções!E131/Projeções!D131)-1)-B11-B12)</f>
        <v>-0.03230642795584005</v>
      </c>
      <c r="C14" s="286">
        <f>IF(Projeções!E131=0,"0",((Projeções!F131/Projeções!E131)-1)-C11-C12)</f>
        <v>0.05516139537218752</v>
      </c>
      <c r="D14" s="286">
        <f>IF(Projeções!F131=0,"0",((Projeções!G131/Projeções!F131)-1)-D11-D12)</f>
        <v>0.06876294474450287</v>
      </c>
      <c r="E14" s="226">
        <f aca="true" t="shared" si="0" ref="E14:G17">(B14+C14+D14)/3</f>
        <v>0.030539304053616777</v>
      </c>
      <c r="F14" s="226">
        <f t="shared" si="0"/>
        <v>0.05148788139010239</v>
      </c>
      <c r="G14" s="226">
        <f t="shared" si="0"/>
        <v>0.050263376729407346</v>
      </c>
    </row>
    <row r="15" spans="1:7" ht="12.75">
      <c r="A15" s="228" t="s">
        <v>127</v>
      </c>
      <c r="B15" s="286">
        <f>IF(Projeções!D9=0,"0",((Projeções!E9/Projeções!D9)-1)-B11-B12)</f>
        <v>0.0023925926171159823</v>
      </c>
      <c r="C15" s="286">
        <f>IF(Projeções!E9=0,"0",((Projeções!F9/Projeções!E9)-1)-C11-C12)</f>
        <v>0.06834981293805716</v>
      </c>
      <c r="D15" s="286">
        <f>IF(Projeções!F9=0,"0",((Projeções!G9/Projeções!F9)-1)-D11-D12)</f>
        <v>-0.009814841404843986</v>
      </c>
      <c r="E15" s="226">
        <f t="shared" si="0"/>
        <v>0.020309188050109717</v>
      </c>
      <c r="F15" s="226">
        <f t="shared" si="0"/>
        <v>0.026281386527774297</v>
      </c>
      <c r="G15" s="226">
        <f t="shared" si="0"/>
        <v>0.012258577724346678</v>
      </c>
    </row>
    <row r="16" spans="1:7" ht="12.75">
      <c r="A16" s="228" t="s">
        <v>358</v>
      </c>
      <c r="B16" s="286">
        <f>IF(Projeções!D40=0,"0",((Projeções!E40/Projeções!D40)-1)-B11-B12)</f>
        <v>0.17259335868510028</v>
      </c>
      <c r="C16" s="286">
        <f>IF(Projeções!E40=0,"0",((Projeções!F40/Projeções!E40)-1)-C11-C12)</f>
        <v>-0.07808827095684438</v>
      </c>
      <c r="D16" s="286">
        <f>IF(Projeções!F40=0,"0",((Projeções!G40/Projeções!F40)-1)-D11-D12)</f>
        <v>0.10475118198883229</v>
      </c>
      <c r="E16" s="226">
        <f t="shared" si="0"/>
        <v>0.06641875657236274</v>
      </c>
      <c r="F16" s="226">
        <f t="shared" si="0"/>
        <v>0.031027222534783547</v>
      </c>
      <c r="G16" s="226">
        <f t="shared" si="0"/>
        <v>0.06739905369865952</v>
      </c>
    </row>
    <row r="17" spans="1:7" ht="12.75">
      <c r="A17" s="228" t="s">
        <v>359</v>
      </c>
      <c r="B17" s="286">
        <f>IF(Projeções!D52=0,"0",((Projeções!E52/Projeções!D52)-1)-B11-B12)</f>
        <v>0.030240794393813206</v>
      </c>
      <c r="C17" s="286">
        <f>IF(Projeções!E52=0,"0",((Projeções!F52/Projeções!E52)-1)-C11-C12)</f>
        <v>0.1443534587436715</v>
      </c>
      <c r="D17" s="286">
        <f>IF(Projeções!F52=0,"0",((Projeções!G52/Projeções!F52)-1)-D11-D12)</f>
        <v>-0.16624034994567635</v>
      </c>
      <c r="E17" s="226">
        <f t="shared" si="0"/>
        <v>0.0027846343972694567</v>
      </c>
      <c r="F17" s="226">
        <f t="shared" si="0"/>
        <v>-0.006367418934911797</v>
      </c>
      <c r="G17" s="226">
        <f t="shared" si="0"/>
        <v>-0.05660771149443957</v>
      </c>
    </row>
    <row r="18" spans="1:7" ht="12.75">
      <c r="A18" s="224" t="s">
        <v>360</v>
      </c>
      <c r="B18" s="232">
        <v>0</v>
      </c>
      <c r="C18" s="232">
        <v>0</v>
      </c>
      <c r="D18" s="232">
        <v>0.0403</v>
      </c>
      <c r="E18" s="231">
        <v>0.0789</v>
      </c>
      <c r="F18" s="231">
        <v>0</v>
      </c>
      <c r="G18" s="231">
        <v>0</v>
      </c>
    </row>
    <row r="19" spans="1:7" ht="12.75">
      <c r="A19" s="224" t="s">
        <v>361</v>
      </c>
      <c r="B19" s="232">
        <v>0</v>
      </c>
      <c r="C19" s="232">
        <v>0</v>
      </c>
      <c r="D19" s="232">
        <v>0</v>
      </c>
      <c r="E19" s="232">
        <v>0</v>
      </c>
      <c r="F19" s="232">
        <v>0</v>
      </c>
      <c r="G19" s="232">
        <v>0</v>
      </c>
    </row>
    <row r="20" spans="1:7" ht="12.75">
      <c r="A20" s="229" t="s">
        <v>134</v>
      </c>
      <c r="B20" s="286">
        <f>IF(Projeções!D138=0,"0",((Projeções!E138/Projeções!D138)-1)-B11-B12)</f>
        <v>-0.17968795804450288</v>
      </c>
      <c r="C20" s="286">
        <f>IF(Projeções!E138=0,"0",((Projeções!F138/Projeções!E138)-1)-C11-C12)</f>
        <v>1.571128206819959</v>
      </c>
      <c r="D20" s="286">
        <f>IF(Projeções!F138=0,"0",((Projeções!G138/Projeções!F138)-1)-D11-D12)</f>
        <v>-0.1596593549103635</v>
      </c>
      <c r="E20" s="226">
        <v>0.2</v>
      </c>
      <c r="F20" s="226">
        <v>0.2</v>
      </c>
      <c r="G20" s="226">
        <v>0.2</v>
      </c>
    </row>
    <row r="21" spans="1:7" ht="12.75">
      <c r="A21" s="229" t="s">
        <v>191</v>
      </c>
      <c r="B21" s="286">
        <v>0.0275</v>
      </c>
      <c r="C21" s="286">
        <v>0.0915</v>
      </c>
      <c r="D21" s="226">
        <v>0.1325</v>
      </c>
      <c r="E21" s="231">
        <v>0.1125</v>
      </c>
      <c r="F21" s="231">
        <v>0.08</v>
      </c>
      <c r="G21" s="231">
        <v>0.075</v>
      </c>
    </row>
    <row r="22" spans="1:7" ht="12.75">
      <c r="A22" s="229" t="s">
        <v>564</v>
      </c>
      <c r="B22" s="230">
        <v>5.2</v>
      </c>
      <c r="C22" s="230">
        <v>5.2</v>
      </c>
      <c r="D22" s="230">
        <v>5.2</v>
      </c>
      <c r="E22" s="230">
        <v>5.2</v>
      </c>
      <c r="F22" s="230">
        <v>5.11</v>
      </c>
      <c r="G22" s="230">
        <v>5.15</v>
      </c>
    </row>
    <row r="23" spans="1:7" ht="14.25">
      <c r="A23" s="41"/>
      <c r="B23" s="41"/>
      <c r="C23" s="13"/>
      <c r="D23" s="13"/>
      <c r="E23" s="13"/>
      <c r="F23" s="13"/>
      <c r="G23" s="13"/>
    </row>
    <row r="24" spans="1:7" ht="12">
      <c r="A24" s="533"/>
      <c r="B24" s="534"/>
      <c r="C24" s="534"/>
      <c r="D24" s="534"/>
      <c r="E24" s="534"/>
      <c r="F24" s="534"/>
      <c r="G24" s="534"/>
    </row>
    <row r="25" spans="1:8" ht="12">
      <c r="A25" s="534"/>
      <c r="B25" s="534"/>
      <c r="C25" s="534"/>
      <c r="D25" s="534"/>
      <c r="E25" s="534"/>
      <c r="F25" s="534"/>
      <c r="G25" s="534"/>
      <c r="H25" s="40"/>
    </row>
    <row r="26" spans="1:8" ht="12">
      <c r="A26" s="534"/>
      <c r="B26" s="534"/>
      <c r="C26" s="534"/>
      <c r="D26" s="534"/>
      <c r="E26" s="534"/>
      <c r="F26" s="534"/>
      <c r="G26" s="534"/>
      <c r="H26" s="40"/>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300" verticalDpi="300" orientation="landscape" paperSize="9" scale="7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3"/>
  <dimension ref="A1:N31"/>
  <sheetViews>
    <sheetView zoomScaleSheetLayoutView="100" zoomScalePageLayoutView="0" workbookViewId="0" topLeftCell="A19">
      <selection activeCell="A31" sqref="A31:L31"/>
    </sheetView>
  </sheetViews>
  <sheetFormatPr defaultColWidth="9.140625" defaultRowHeight="12.75"/>
  <cols>
    <col min="1" max="1" width="25.28125" style="11" customWidth="1"/>
    <col min="2" max="2" width="15.421875" style="11" customWidth="1"/>
    <col min="3" max="3" width="15.140625" style="11" customWidth="1"/>
    <col min="4" max="4" width="10.28125" style="11" customWidth="1"/>
    <col min="5" max="5" width="14.8515625" style="11" customWidth="1"/>
    <col min="6" max="6" width="10.28125" style="11" customWidth="1"/>
    <col min="7" max="7" width="15.281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666" t="str">
        <f>Parâmetros!A7</f>
        <v>Município de : IVOTI</v>
      </c>
      <c r="B1" s="649"/>
      <c r="C1" s="649"/>
      <c r="D1" s="649"/>
      <c r="E1" s="649"/>
      <c r="F1" s="649"/>
      <c r="G1" s="649"/>
      <c r="H1" s="649"/>
      <c r="I1" s="649"/>
      <c r="J1" s="649"/>
      <c r="K1" s="649"/>
      <c r="L1" s="650"/>
    </row>
    <row r="2" spans="1:12" ht="12.75">
      <c r="A2" s="648" t="s">
        <v>36</v>
      </c>
      <c r="B2" s="649"/>
      <c r="C2" s="649"/>
      <c r="D2" s="649"/>
      <c r="E2" s="649"/>
      <c r="F2" s="649"/>
      <c r="G2" s="649"/>
      <c r="H2" s="649"/>
      <c r="I2" s="649"/>
      <c r="J2" s="649"/>
      <c r="K2" s="649"/>
      <c r="L2" s="650"/>
    </row>
    <row r="3" spans="1:12" ht="12.75">
      <c r="A3" s="648" t="s">
        <v>144</v>
      </c>
      <c r="B3" s="649"/>
      <c r="C3" s="649"/>
      <c r="D3" s="649"/>
      <c r="E3" s="649"/>
      <c r="F3" s="649"/>
      <c r="G3" s="649"/>
      <c r="H3" s="649"/>
      <c r="I3" s="649"/>
      <c r="J3" s="649"/>
      <c r="K3" s="649"/>
      <c r="L3" s="650"/>
    </row>
    <row r="4" spans="1:12" ht="12.75">
      <c r="A4" s="667" t="s">
        <v>117</v>
      </c>
      <c r="B4" s="668"/>
      <c r="C4" s="668"/>
      <c r="D4" s="668"/>
      <c r="E4" s="668"/>
      <c r="F4" s="668"/>
      <c r="G4" s="668"/>
      <c r="H4" s="668"/>
      <c r="I4" s="668"/>
      <c r="J4" s="668"/>
      <c r="K4" s="668"/>
      <c r="L4" s="669"/>
    </row>
    <row r="5" spans="1:12" ht="12.75">
      <c r="A5" s="648" t="s">
        <v>639</v>
      </c>
      <c r="B5" s="649"/>
      <c r="C5" s="649"/>
      <c r="D5" s="649"/>
      <c r="E5" s="649"/>
      <c r="F5" s="649"/>
      <c r="G5" s="649"/>
      <c r="H5" s="649"/>
      <c r="I5" s="649"/>
      <c r="J5" s="649"/>
      <c r="K5" s="649"/>
      <c r="L5" s="650"/>
    </row>
    <row r="6" spans="1:12" ht="12.75">
      <c r="A6" s="648"/>
      <c r="B6" s="649"/>
      <c r="C6" s="649"/>
      <c r="D6" s="649"/>
      <c r="E6" s="649"/>
      <c r="F6" s="649"/>
      <c r="G6" s="649"/>
      <c r="H6" s="649"/>
      <c r="I6" s="649"/>
      <c r="J6" s="649"/>
      <c r="K6" s="649"/>
      <c r="L6" s="650"/>
    </row>
    <row r="7" spans="1:12" ht="12.75">
      <c r="A7" s="677" t="s">
        <v>435</v>
      </c>
      <c r="B7" s="678"/>
      <c r="C7" s="50"/>
      <c r="D7" s="50"/>
      <c r="E7" s="50"/>
      <c r="F7" s="50"/>
      <c r="G7" s="50"/>
      <c r="H7" s="50"/>
      <c r="I7" s="50"/>
      <c r="J7" s="50"/>
      <c r="K7" s="50"/>
      <c r="L7" s="51">
        <v>1</v>
      </c>
    </row>
    <row r="8" spans="1:12" ht="15.75" customHeight="1">
      <c r="A8" s="47" t="s">
        <v>56</v>
      </c>
      <c r="B8" s="670" t="s">
        <v>75</v>
      </c>
      <c r="C8" s="671"/>
      <c r="D8" s="671"/>
      <c r="E8" s="671"/>
      <c r="F8" s="671"/>
      <c r="G8" s="671"/>
      <c r="H8" s="671"/>
      <c r="I8" s="671"/>
      <c r="J8" s="671"/>
      <c r="K8" s="671"/>
      <c r="L8" s="671"/>
    </row>
    <row r="9" spans="1:12" s="12" customFormat="1" ht="15.75" customHeight="1">
      <c r="A9" s="674"/>
      <c r="B9" s="672">
        <f>Parâmetros!B10</f>
        <v>2020</v>
      </c>
      <c r="C9" s="672">
        <f>B9+1</f>
        <v>2021</v>
      </c>
      <c r="D9" s="672" t="s">
        <v>112</v>
      </c>
      <c r="E9" s="672">
        <f>C9+1</f>
        <v>2022</v>
      </c>
      <c r="F9" s="672" t="s">
        <v>112</v>
      </c>
      <c r="G9" s="643">
        <f>E9+1</f>
        <v>2023</v>
      </c>
      <c r="H9" s="643" t="s">
        <v>112</v>
      </c>
      <c r="I9" s="643">
        <f>G9+1</f>
        <v>2024</v>
      </c>
      <c r="J9" s="643" t="s">
        <v>113</v>
      </c>
      <c r="K9" s="643">
        <f>I9+1</f>
        <v>2025</v>
      </c>
      <c r="L9" s="660" t="s">
        <v>112</v>
      </c>
    </row>
    <row r="10" spans="1:12" s="12" customFormat="1" ht="15.75" customHeight="1">
      <c r="A10" s="675"/>
      <c r="B10" s="673"/>
      <c r="C10" s="673"/>
      <c r="D10" s="673"/>
      <c r="E10" s="673"/>
      <c r="F10" s="673"/>
      <c r="G10" s="645"/>
      <c r="H10" s="645"/>
      <c r="I10" s="645"/>
      <c r="J10" s="645"/>
      <c r="K10" s="645"/>
      <c r="L10" s="662"/>
    </row>
    <row r="11" spans="1:12" ht="12.75">
      <c r="A11" s="212" t="s">
        <v>76</v>
      </c>
      <c r="B11" s="83">
        <v>93049239.9</v>
      </c>
      <c r="C11" s="437">
        <v>105572841.74</v>
      </c>
      <c r="D11" s="243">
        <f aca="true" t="shared" si="0" ref="D11:D18">IF(B11=0,"0",(C11/B11)-1)</f>
        <v>0.13459112458585487</v>
      </c>
      <c r="E11" s="83">
        <v>115661837.7426811</v>
      </c>
      <c r="F11" s="243">
        <f aca="true" t="shared" si="1" ref="F11:F18">IF(C11=0,"0",(E11/C11)-1)</f>
        <v>0.09556431215073125</v>
      </c>
      <c r="G11" s="244">
        <f>'Metas Cons'!B11</f>
        <v>137178019.68891415</v>
      </c>
      <c r="H11" s="245">
        <f>IF(E11=0,"0",(G11/E11)-1)</f>
        <v>0.18602663044401235</v>
      </c>
      <c r="I11" s="244">
        <f>'Metas Cons'!F11</f>
        <v>144728306.96277565</v>
      </c>
      <c r="J11" s="243">
        <f>IF(G11=0,"-",(I11/G11)-1)</f>
        <v>0.055040066119803166</v>
      </c>
      <c r="K11" s="244">
        <f>'Metas Cons'!J11</f>
        <v>152643678.54798067</v>
      </c>
      <c r="L11" s="243">
        <f>IF(I11=0,"-",(K11/I11)-1)</f>
        <v>0.054691247008374466</v>
      </c>
    </row>
    <row r="12" spans="1:12" ht="12.75">
      <c r="A12" s="212" t="s">
        <v>118</v>
      </c>
      <c r="B12" s="83">
        <v>86793127.57</v>
      </c>
      <c r="C12" s="437">
        <v>90020162.67</v>
      </c>
      <c r="D12" s="243">
        <f t="shared" si="0"/>
        <v>0.03718076753712274</v>
      </c>
      <c r="E12" s="83">
        <v>107812823.0483939</v>
      </c>
      <c r="F12" s="243">
        <f t="shared" si="1"/>
        <v>0.19765194652690243</v>
      </c>
      <c r="G12" s="244">
        <f>'Metas Cons'!B12</f>
        <v>128629065.2128943</v>
      </c>
      <c r="H12" s="245">
        <f aca="true" t="shared" si="2" ref="H12:H18">IF(E12=0,"0",(G12/E12)-1)</f>
        <v>0.19307760965647502</v>
      </c>
      <c r="I12" s="244">
        <f>'Metas Cons'!F12</f>
        <v>135729928.5553617</v>
      </c>
      <c r="J12" s="243">
        <f aca="true" t="shared" si="3" ref="J12:J18">IF(G12=0,"-",(I12/G12)-1)</f>
        <v>0.05520418989840836</v>
      </c>
      <c r="K12" s="244">
        <f>'Metas Cons'!J12</f>
        <v>143190234.65196574</v>
      </c>
      <c r="L12" s="243">
        <f aca="true" t="shared" si="4" ref="L12:L18">IF(I12=0,"-",(K12/I12)-1)</f>
        <v>0.05496434114426818</v>
      </c>
    </row>
    <row r="13" spans="1:12" ht="12.75">
      <c r="A13" s="212" t="s">
        <v>77</v>
      </c>
      <c r="B13" s="83">
        <v>75406615.97</v>
      </c>
      <c r="C13" s="437">
        <v>105572841.74</v>
      </c>
      <c r="D13" s="243">
        <f t="shared" si="0"/>
        <v>0.40004746774475897</v>
      </c>
      <c r="E13" s="83">
        <v>101177717.04186124</v>
      </c>
      <c r="F13" s="243">
        <f t="shared" si="1"/>
        <v>-0.04163120576940493</v>
      </c>
      <c r="G13" s="244">
        <f>'Metas Cons'!B19</f>
        <v>139451292.22165468</v>
      </c>
      <c r="H13" s="245">
        <f t="shared" si="2"/>
        <v>0.378280675812819</v>
      </c>
      <c r="I13" s="244">
        <f>'Metas Cons'!F19</f>
        <v>147533484.52349544</v>
      </c>
      <c r="J13" s="243">
        <f t="shared" si="3"/>
        <v>0.05795709866204968</v>
      </c>
      <c r="K13" s="244">
        <f>'Metas Cons'!J19</f>
        <v>155936409.51195213</v>
      </c>
      <c r="L13" s="243">
        <f t="shared" si="4"/>
        <v>0.05695605316716068</v>
      </c>
    </row>
    <row r="14" spans="1:12" ht="12.75">
      <c r="A14" s="212" t="s">
        <v>114</v>
      </c>
      <c r="B14" s="83">
        <v>74825031.46</v>
      </c>
      <c r="C14" s="437">
        <v>83477232.43</v>
      </c>
      <c r="D14" s="243">
        <f t="shared" si="0"/>
        <v>0.11563244012299956</v>
      </c>
      <c r="E14" s="83">
        <v>100489372.49612652</v>
      </c>
      <c r="F14" s="243">
        <f t="shared" si="1"/>
        <v>0.20379377191729575</v>
      </c>
      <c r="G14" s="244">
        <f>'Metas Cons'!B20</f>
        <v>123557071.4721224</v>
      </c>
      <c r="H14" s="245">
        <f t="shared" si="2"/>
        <v>0.22955361749208913</v>
      </c>
      <c r="I14" s="244">
        <f>'Metas Cons'!F20</f>
        <v>130847019.41578163</v>
      </c>
      <c r="J14" s="243">
        <f t="shared" si="3"/>
        <v>0.05900065335640492</v>
      </c>
      <c r="K14" s="244">
        <f>'Metas Cons'!J20</f>
        <v>138483338.28669345</v>
      </c>
      <c r="L14" s="243">
        <f t="shared" si="4"/>
        <v>0.05836066350618596</v>
      </c>
    </row>
    <row r="15" spans="1:12" ht="12.75">
      <c r="A15" s="212" t="s">
        <v>78</v>
      </c>
      <c r="B15" s="238">
        <v>11968096.11</v>
      </c>
      <c r="C15" s="238">
        <f>C12-C14</f>
        <v>6542930.239999995</v>
      </c>
      <c r="D15" s="243">
        <f t="shared" si="0"/>
        <v>-0.45330233147668175</v>
      </c>
      <c r="E15" s="238">
        <v>7323450.5522673875</v>
      </c>
      <c r="F15" s="243">
        <f t="shared" si="1"/>
        <v>0.11929216476980109</v>
      </c>
      <c r="G15" s="244">
        <f>'Metas Cons'!B27</f>
        <v>5071993.740771905</v>
      </c>
      <c r="H15" s="245">
        <f t="shared" si="2"/>
        <v>-0.3074311481216211</v>
      </c>
      <c r="I15" s="244">
        <f>'Metas Cons'!F27</f>
        <v>4882909.139580056</v>
      </c>
      <c r="J15" s="243">
        <f t="shared" si="3"/>
        <v>-0.03728013299225241</v>
      </c>
      <c r="K15" s="244">
        <f>'Metas Cons'!J27</f>
        <v>4706896.365272284</v>
      </c>
      <c r="L15" s="243">
        <f t="shared" si="4"/>
        <v>-0.0360467027496052</v>
      </c>
    </row>
    <row r="16" spans="1:12" ht="12.75">
      <c r="A16" s="212" t="s">
        <v>79</v>
      </c>
      <c r="B16" s="84">
        <v>17989946.52</v>
      </c>
      <c r="C16" s="287">
        <v>12263181.21</v>
      </c>
      <c r="D16" s="243">
        <f t="shared" si="0"/>
        <v>-0.3183314249229907</v>
      </c>
      <c r="E16" s="287">
        <v>12197924.243067387</v>
      </c>
      <c r="F16" s="243">
        <f t="shared" si="1"/>
        <v>-0.005321373452379485</v>
      </c>
      <c r="G16" s="244">
        <f>'Metas Cons'!B30</f>
        <v>9341672.39456357</v>
      </c>
      <c r="H16" s="245">
        <f t="shared" si="2"/>
        <v>-0.23415884470074078</v>
      </c>
      <c r="I16" s="244">
        <f>'Metas Cons'!F30</f>
        <v>8907645.690945057</v>
      </c>
      <c r="J16" s="243">
        <f t="shared" si="3"/>
        <v>-0.046461349240966454</v>
      </c>
      <c r="K16" s="244">
        <f>'Metas Cons'!J30</f>
        <v>8946782.241703423</v>
      </c>
      <c r="L16" s="243">
        <f t="shared" si="4"/>
        <v>0.004393590867466823</v>
      </c>
    </row>
    <row r="17" spans="1:12" ht="12.75">
      <c r="A17" s="212" t="s">
        <v>80</v>
      </c>
      <c r="B17" s="287">
        <v>1350000</v>
      </c>
      <c r="C17" s="287">
        <v>859086.75</v>
      </c>
      <c r="D17" s="243">
        <f t="shared" si="0"/>
        <v>-0.3636394444444444</v>
      </c>
      <c r="E17" s="287">
        <v>922774.7333333334</v>
      </c>
      <c r="F17" s="243">
        <f t="shared" si="1"/>
        <v>0.07413451939904014</v>
      </c>
      <c r="G17" s="244">
        <f>'Metas Cons'!B31</f>
        <v>1012500</v>
      </c>
      <c r="H17" s="245">
        <f t="shared" si="2"/>
        <v>0.09723420399966143</v>
      </c>
      <c r="I17" s="244">
        <f>'Metas Cons'!F31</f>
        <v>900000</v>
      </c>
      <c r="J17" s="243">
        <f t="shared" si="3"/>
        <v>-0.11111111111111116</v>
      </c>
      <c r="K17" s="244">
        <f>'Metas Cons'!J31</f>
        <v>862500</v>
      </c>
      <c r="L17" s="243">
        <f t="shared" si="4"/>
        <v>-0.04166666666666663</v>
      </c>
    </row>
    <row r="18" spans="1:14" ht="12.75">
      <c r="A18" s="213" t="s">
        <v>74</v>
      </c>
      <c r="B18" s="288">
        <v>-16588650.02</v>
      </c>
      <c r="C18" s="288">
        <v>-12925019.2</v>
      </c>
      <c r="D18" s="243">
        <f t="shared" si="0"/>
        <v>-0.22085165553453523</v>
      </c>
      <c r="E18" s="288">
        <v>-23915343.23333333</v>
      </c>
      <c r="F18" s="243">
        <f t="shared" si="1"/>
        <v>0.8503139425381536</v>
      </c>
      <c r="G18" s="244">
        <f>'Metas Cons'!B32</f>
        <v>-37988754.50333333</v>
      </c>
      <c r="H18" s="245">
        <f t="shared" si="2"/>
        <v>0.588467877407856</v>
      </c>
      <c r="I18" s="244">
        <f>'Metas Cons'!F32</f>
        <v>-43022523.21777778</v>
      </c>
      <c r="J18" s="243">
        <f t="shared" si="3"/>
        <v>0.13250681103542794</v>
      </c>
      <c r="K18" s="244">
        <f>'Metas Cons'!J32</f>
        <v>-45158777.8737037</v>
      </c>
      <c r="L18" s="243">
        <f t="shared" si="4"/>
        <v>0.04965433210675041</v>
      </c>
      <c r="N18" s="341"/>
    </row>
    <row r="19" spans="1:12" ht="12.75">
      <c r="A19" s="671"/>
      <c r="B19" s="671"/>
      <c r="C19" s="671"/>
      <c r="D19" s="671"/>
      <c r="E19" s="671"/>
      <c r="F19" s="671"/>
      <c r="G19" s="671"/>
      <c r="H19" s="671"/>
      <c r="I19" s="671"/>
      <c r="J19" s="671"/>
      <c r="K19" s="671"/>
      <c r="L19" s="671"/>
    </row>
    <row r="20" spans="1:12" ht="15.75" customHeight="1">
      <c r="A20" s="205" t="s">
        <v>56</v>
      </c>
      <c r="B20" s="670" t="s">
        <v>81</v>
      </c>
      <c r="C20" s="671"/>
      <c r="D20" s="671"/>
      <c r="E20" s="671"/>
      <c r="F20" s="671"/>
      <c r="G20" s="671"/>
      <c r="H20" s="671"/>
      <c r="I20" s="671"/>
      <c r="J20" s="671"/>
      <c r="K20" s="671"/>
      <c r="L20" s="671"/>
    </row>
    <row r="21" spans="1:12" s="12" customFormat="1" ht="15.75" customHeight="1">
      <c r="A21" s="674"/>
      <c r="B21" s="672">
        <f>Parâmetros!B10</f>
        <v>2020</v>
      </c>
      <c r="C21" s="672">
        <f>B21+1</f>
        <v>2021</v>
      </c>
      <c r="D21" s="672" t="s">
        <v>112</v>
      </c>
      <c r="E21" s="672">
        <f>C21+1</f>
        <v>2022</v>
      </c>
      <c r="F21" s="643" t="s">
        <v>112</v>
      </c>
      <c r="G21" s="643">
        <f>E21+1</f>
        <v>2023</v>
      </c>
      <c r="H21" s="643" t="s">
        <v>112</v>
      </c>
      <c r="I21" s="643">
        <f>G21+1</f>
        <v>2024</v>
      </c>
      <c r="J21" s="643" t="s">
        <v>112</v>
      </c>
      <c r="K21" s="643">
        <f>I21+1</f>
        <v>2025</v>
      </c>
      <c r="L21" s="660" t="s">
        <v>112</v>
      </c>
    </row>
    <row r="22" spans="1:12" s="12" customFormat="1" ht="15.75" customHeight="1">
      <c r="A22" s="675"/>
      <c r="B22" s="673"/>
      <c r="C22" s="673"/>
      <c r="D22" s="673"/>
      <c r="E22" s="673"/>
      <c r="F22" s="645"/>
      <c r="G22" s="645"/>
      <c r="H22" s="645"/>
      <c r="I22" s="645"/>
      <c r="J22" s="645"/>
      <c r="K22" s="645"/>
      <c r="L22" s="662"/>
    </row>
    <row r="23" spans="1:12" ht="12.75">
      <c r="A23" s="212" t="s">
        <v>76</v>
      </c>
      <c r="B23" s="244">
        <f>B11*((1+Parâmetros!C11)*(1+Parâmetros!D11))</f>
        <v>108554593.0399764</v>
      </c>
      <c r="C23" s="238">
        <f>C11*(1+Parâmetros!D11)</f>
        <v>111907212.2444</v>
      </c>
      <c r="D23" s="243">
        <f>IF(B23=0,"-",(C23/B23)-1)</f>
        <v>0.030884176436357214</v>
      </c>
      <c r="E23" s="238">
        <f>E11</f>
        <v>115661837.7426811</v>
      </c>
      <c r="F23" s="243">
        <f>IF(C23=0,"-",(E23/C23)-1)</f>
        <v>0.03355123787804826</v>
      </c>
      <c r="G23" s="244">
        <f>'Metas Cons'!C11</f>
        <v>130633291.77117813</v>
      </c>
      <c r="H23" s="243">
        <f>IF(E23=0,"-",(G23/E23)-1)</f>
        <v>0.12944160598420362</v>
      </c>
      <c r="I23" s="244">
        <f>'Metas Cons'!G11</f>
        <v>133162663.5630061</v>
      </c>
      <c r="J23" s="243">
        <f>IF(G23=0,"-",(I23/G23)-1)</f>
        <v>0.01936238272444757</v>
      </c>
      <c r="K23" s="244">
        <f>'Metas Cons'!K11</f>
        <v>136354850.1827413</v>
      </c>
      <c r="L23" s="243">
        <f>IF(I23=0,"-",(K23/I23)-1)</f>
        <v>0.02397208447415</v>
      </c>
    </row>
    <row r="24" spans="1:12" ht="12.75">
      <c r="A24" s="212" t="s">
        <v>118</v>
      </c>
      <c r="B24" s="244">
        <f>B12*((1+Parâmetros!C11)*(1+Parâmetros!D11))</f>
        <v>101255987.17575452</v>
      </c>
      <c r="C24" s="238">
        <f>C12*(1+Parâmetros!D11)</f>
        <v>95421372.43020001</v>
      </c>
      <c r="D24" s="243">
        <f aca="true" t="shared" si="5" ref="D24:D30">IF(B24=0,"-",(C24/B24)-1)</f>
        <v>-0.057622417284097005</v>
      </c>
      <c r="E24" s="238">
        <f>E12</f>
        <v>107812823.0483939</v>
      </c>
      <c r="F24" s="243">
        <f>IF(C24=0,"-",(E24/C24)-1)</f>
        <v>0.12986032691217209</v>
      </c>
      <c r="G24" s="246">
        <f>'Metas Cons'!C12</f>
        <v>122492205.70697486</v>
      </c>
      <c r="H24" s="243">
        <f aca="true" t="shared" si="6" ref="H24:H30">IF(E24=0,"-",(G24/E24)-1)</f>
        <v>0.13615618479809055</v>
      </c>
      <c r="I24" s="246">
        <f>'Metas Cons'!G12</f>
        <v>124883370.7168093</v>
      </c>
      <c r="J24" s="243">
        <f aca="true" t="shared" si="7" ref="J24:J30">IF(G24=0,"-",(I24/G24)-1)</f>
        <v>0.019520956423583202</v>
      </c>
      <c r="K24" s="246">
        <f>'Metas Cons'!K12</f>
        <v>127910196.99818845</v>
      </c>
      <c r="L24" s="243">
        <f aca="true" t="shared" si="8" ref="L24:L30">IF(I24=0,"-",(K24/I24)-1)</f>
        <v>0.024237224411910674</v>
      </c>
    </row>
    <row r="25" spans="1:12" ht="12.75">
      <c r="A25" s="212" t="s">
        <v>77</v>
      </c>
      <c r="B25" s="244">
        <f>B13*((1+Parâmetros!C11)*(1+Parâmetros!D11))</f>
        <v>87972072.82877693</v>
      </c>
      <c r="C25" s="238">
        <f>C13*(1+Parâmetros!D11)</f>
        <v>111907212.2444</v>
      </c>
      <c r="D25" s="243">
        <f t="shared" si="5"/>
        <v>0.272076565277811</v>
      </c>
      <c r="E25" s="238">
        <f>E13</f>
        <v>101177717.04186124</v>
      </c>
      <c r="F25" s="243">
        <f aca="true" t="shared" si="9" ref="F25:F30">IF(C25=0,"-",(E25/C25)-1)</f>
        <v>-0.09587849600887255</v>
      </c>
      <c r="G25" s="246">
        <f>'Metas Cons'!C19</f>
        <v>132798107.05804655</v>
      </c>
      <c r="H25" s="243">
        <f t="shared" si="6"/>
        <v>0.312523260463593</v>
      </c>
      <c r="I25" s="246">
        <f>'Metas Cons'!G19</f>
        <v>135743671.54680502</v>
      </c>
      <c r="J25" s="243">
        <f t="shared" si="7"/>
        <v>0.02218077165415444</v>
      </c>
      <c r="K25" s="246">
        <f>'Metas Cons'!K19</f>
        <v>139296209.04905868</v>
      </c>
      <c r="L25" s="243">
        <f t="shared" si="8"/>
        <v>0.026170925405010204</v>
      </c>
    </row>
    <row r="26" spans="1:12" ht="12.75">
      <c r="A26" s="212" t="s">
        <v>114</v>
      </c>
      <c r="B26" s="244">
        <f>B14*((1+Parâmetros!C11)*(1+Parâmetros!D11))</f>
        <v>87293575.40236855</v>
      </c>
      <c r="C26" s="238">
        <f>C14*(1+Parâmetros!D11)</f>
        <v>88485866.37580001</v>
      </c>
      <c r="D26" s="243">
        <f t="shared" si="5"/>
        <v>0.013658404618389852</v>
      </c>
      <c r="E26" s="238">
        <f>E14</f>
        <v>100489372.49612652</v>
      </c>
      <c r="F26" s="243">
        <f t="shared" si="9"/>
        <v>0.1356545018087696</v>
      </c>
      <c r="G26" s="246">
        <f>'Metas Cons'!C20</f>
        <v>117662195.47864242</v>
      </c>
      <c r="H26" s="243">
        <f t="shared" si="6"/>
        <v>0.17089193171325512</v>
      </c>
      <c r="I26" s="246">
        <f>'Metas Cons'!G20</f>
        <v>120390668.4900786</v>
      </c>
      <c r="J26" s="243">
        <f t="shared" si="7"/>
        <v>0.0231890370593284</v>
      </c>
      <c r="K26" s="246">
        <f>'Metas Cons'!K20</f>
        <v>123705580.37195423</v>
      </c>
      <c r="L26" s="243">
        <f t="shared" si="8"/>
        <v>0.027534624763287274</v>
      </c>
    </row>
    <row r="27" spans="1:12" ht="12.75">
      <c r="A27" s="212" t="s">
        <v>78</v>
      </c>
      <c r="B27" s="244">
        <f>B24-B26</f>
        <v>13962411.773385972</v>
      </c>
      <c r="C27" s="246">
        <f>C24-C26</f>
        <v>6935506.054399997</v>
      </c>
      <c r="D27" s="243">
        <f t="shared" si="5"/>
        <v>-0.5032730614907159</v>
      </c>
      <c r="E27" s="246">
        <f>E24-E26</f>
        <v>7323450.5522673875</v>
      </c>
      <c r="F27" s="243">
        <f t="shared" si="9"/>
        <v>0.05593600449981184</v>
      </c>
      <c r="G27" s="246">
        <f>'Metas Cons'!C27</f>
        <v>4830010.228332449</v>
      </c>
      <c r="H27" s="243">
        <f t="shared" si="6"/>
        <v>-0.3404734293130379</v>
      </c>
      <c r="I27" s="246">
        <f>'Metas Cons'!G27</f>
        <v>4492702.2267307015</v>
      </c>
      <c r="J27" s="243">
        <f t="shared" si="7"/>
        <v>-0.06983587728720031</v>
      </c>
      <c r="K27" s="246">
        <f>'Metas Cons'!K27</f>
        <v>4204616.626234224</v>
      </c>
      <c r="L27" s="243">
        <f t="shared" si="8"/>
        <v>-0.06412301237825746</v>
      </c>
    </row>
    <row r="28" spans="1:12" ht="12.75">
      <c r="A28" s="212" t="s">
        <v>79</v>
      </c>
      <c r="B28" s="244">
        <f>B16*((1+Parâmetros!C11)*(1+Parâmetros!D11))</f>
        <v>20987719.24830672</v>
      </c>
      <c r="C28" s="238">
        <f>C16*(1+Parâmetros!D11)</f>
        <v>12998972.082600001</v>
      </c>
      <c r="D28" s="243">
        <f t="shared" si="5"/>
        <v>-0.3806391285871259</v>
      </c>
      <c r="E28" s="238">
        <f>E16</f>
        <v>12197924.243067387</v>
      </c>
      <c r="F28" s="243">
        <f t="shared" si="9"/>
        <v>-0.06162393721922599</v>
      </c>
      <c r="G28" s="246">
        <f>'Metas Cons'!C30</f>
        <v>8895983.615430502</v>
      </c>
      <c r="H28" s="243">
        <f t="shared" si="6"/>
        <v>-0.270696928578936</v>
      </c>
      <c r="I28" s="246">
        <f>'Metas Cons'!G30</f>
        <v>8195810.834620358</v>
      </c>
      <c r="J28" s="243">
        <f t="shared" si="7"/>
        <v>-0.07870661762412212</v>
      </c>
      <c r="K28" s="246">
        <f>'Metas Cons'!K30</f>
        <v>7992058.130344496</v>
      </c>
      <c r="L28" s="243">
        <f t="shared" si="8"/>
        <v>-0.024860591390808984</v>
      </c>
    </row>
    <row r="29" spans="1:12" ht="12.75">
      <c r="A29" s="212" t="s">
        <v>80</v>
      </c>
      <c r="B29" s="244">
        <f>B17*((1+Parâmetros!C11)*(1+Parâmetros!D11))</f>
        <v>1574958.6</v>
      </c>
      <c r="C29" s="238">
        <f>C17*(1+Parâmetros!D11)</f>
        <v>910631.9550000001</v>
      </c>
      <c r="D29" s="243">
        <f t="shared" si="5"/>
        <v>-0.4218057827043834</v>
      </c>
      <c r="E29" s="238">
        <f>E17</f>
        <v>922774.7333333334</v>
      </c>
      <c r="F29" s="243">
        <f t="shared" si="9"/>
        <v>0.013334452263245478</v>
      </c>
      <c r="G29" s="246">
        <f>'Metas Cons'!C31</f>
        <v>964193.8862965432</v>
      </c>
      <c r="H29" s="243">
        <f t="shared" si="6"/>
        <v>0.044885443290792804</v>
      </c>
      <c r="I29" s="246">
        <f>'Metas Cons'!G31</f>
        <v>828078.4852788348</v>
      </c>
      <c r="J29" s="243">
        <f t="shared" si="7"/>
        <v>-0.14117015566290914</v>
      </c>
      <c r="K29" s="246">
        <f>'Metas Cons'!K31</f>
        <v>770461.373843576</v>
      </c>
      <c r="L29" s="243">
        <f t="shared" si="8"/>
        <v>-0.0695792880258902</v>
      </c>
    </row>
    <row r="30" spans="1:12" ht="12.75">
      <c r="A30" s="213" t="s">
        <v>74</v>
      </c>
      <c r="B30" s="244">
        <f>B18*((1+Parâmetros!C11)*(1+Parâmetros!D11))</f>
        <v>-19352916.30473272</v>
      </c>
      <c r="C30" s="238">
        <f>C18*(1+Parâmetros!D11)</f>
        <v>-13700520.352</v>
      </c>
      <c r="D30" s="243">
        <f t="shared" si="5"/>
        <v>-0.2920694671402283</v>
      </c>
      <c r="E30" s="238">
        <f>E18</f>
        <v>-23915343.23333333</v>
      </c>
      <c r="F30" s="243">
        <f t="shared" si="9"/>
        <v>0.7455791910737297</v>
      </c>
      <c r="G30" s="247">
        <f>'Metas Cons'!C32</f>
        <v>-36176320.82976224</v>
      </c>
      <c r="H30" s="243">
        <f t="shared" si="6"/>
        <v>0.5126824849136808</v>
      </c>
      <c r="I30" s="244">
        <f>'Metas Cons'!G32</f>
        <v>-39584473.17672325</v>
      </c>
      <c r="J30" s="243">
        <f t="shared" si="7"/>
        <v>0.09420947926128309</v>
      </c>
      <c r="K30" s="244">
        <f>'Metas Cons'!K32</f>
        <v>-40339819.17874856</v>
      </c>
      <c r="L30" s="243">
        <f t="shared" si="8"/>
        <v>0.019081875831796546</v>
      </c>
    </row>
    <row r="31" spans="1:12" ht="12.75">
      <c r="A31" s="676"/>
      <c r="B31" s="676"/>
      <c r="C31" s="676"/>
      <c r="D31" s="676"/>
      <c r="E31" s="676"/>
      <c r="F31" s="676"/>
      <c r="G31" s="676"/>
      <c r="H31" s="676"/>
      <c r="I31" s="676"/>
      <c r="J31" s="676"/>
      <c r="K31" s="676"/>
      <c r="L31" s="676"/>
    </row>
  </sheetData>
  <sheetProtection/>
  <mergeCells count="35">
    <mergeCell ref="A5:L5"/>
    <mergeCell ref="J9:J10"/>
    <mergeCell ref="K9:K10"/>
    <mergeCell ref="L9:L10"/>
    <mergeCell ref="A6:L6"/>
    <mergeCell ref="A9:A10"/>
    <mergeCell ref="B9:B10"/>
    <mergeCell ref="C9:C10"/>
    <mergeCell ref="A31:L31"/>
    <mergeCell ref="F21:F22"/>
    <mergeCell ref="I21:I22"/>
    <mergeCell ref="J21:J22"/>
    <mergeCell ref="K21:K22"/>
    <mergeCell ref="A7:B7"/>
    <mergeCell ref="E9:E10"/>
    <mergeCell ref="C21:C22"/>
    <mergeCell ref="D21:D22"/>
    <mergeCell ref="A19:L19"/>
    <mergeCell ref="A1:L1"/>
    <mergeCell ref="A2:L2"/>
    <mergeCell ref="A3:L3"/>
    <mergeCell ref="A4:L4"/>
    <mergeCell ref="B8:L8"/>
    <mergeCell ref="L21:L22"/>
    <mergeCell ref="G21:G22"/>
    <mergeCell ref="H21:H22"/>
    <mergeCell ref="A21:A22"/>
    <mergeCell ref="B21:B22"/>
    <mergeCell ref="B20:L20"/>
    <mergeCell ref="E21:E22"/>
    <mergeCell ref="F9:F10"/>
    <mergeCell ref="G9:G10"/>
    <mergeCell ref="H9:H10"/>
    <mergeCell ref="D9:D10"/>
    <mergeCell ref="I9:I10"/>
  </mergeCells>
  <printOptions/>
  <pageMargins left="0.787401575" right="0.787401575" top="0.984251969" bottom="0.984251969" header="0.492125985" footer="0.492125985"/>
  <pageSetup horizontalDpi="300" verticalDpi="300" orientation="landscape" paperSize="9" scale="80" r:id="rId2"/>
  <drawing r:id="rId1"/>
</worksheet>
</file>

<file path=xl/worksheets/sheet11.xml><?xml version="1.0" encoding="utf-8"?>
<worksheet xmlns="http://schemas.openxmlformats.org/spreadsheetml/2006/main" xmlns:r="http://schemas.openxmlformats.org/officeDocument/2006/relationships">
  <sheetPr codeName="Plan14"/>
  <dimension ref="A1:I44"/>
  <sheetViews>
    <sheetView zoomScaleSheetLayoutView="90" zoomScalePageLayoutView="0" workbookViewId="0" topLeftCell="A28">
      <selection activeCell="A30" sqref="A30:G30"/>
    </sheetView>
  </sheetViews>
  <sheetFormatPr defaultColWidth="9.140625" defaultRowHeight="12.75"/>
  <cols>
    <col min="1" max="1" width="26.7109375" style="11" customWidth="1"/>
    <col min="2" max="2" width="17.57421875" style="11" customWidth="1"/>
    <col min="3" max="3" width="10.140625" style="11" customWidth="1"/>
    <col min="4" max="4" width="17.7109375" style="11" customWidth="1"/>
    <col min="5" max="5" width="13.57421875" style="11" customWidth="1"/>
    <col min="6" max="6" width="18.00390625" style="11" customWidth="1"/>
    <col min="7" max="7" width="10.7109375" style="11" customWidth="1"/>
    <col min="8" max="8" width="9.140625" style="11" customWidth="1"/>
    <col min="9" max="9" width="14.421875" style="11" customWidth="1"/>
    <col min="10" max="16384" width="9.140625" style="11" customWidth="1"/>
  </cols>
  <sheetData>
    <row r="1" spans="1:7" ht="15.75">
      <c r="A1" s="679" t="str">
        <f>Parâmetros!A7</f>
        <v>Município de : IVOTI</v>
      </c>
      <c r="B1" s="680"/>
      <c r="C1" s="680"/>
      <c r="D1" s="680"/>
      <c r="E1" s="680"/>
      <c r="F1" s="680"/>
      <c r="G1" s="681"/>
    </row>
    <row r="2" spans="1:7" ht="15.75">
      <c r="A2" s="682" t="s">
        <v>36</v>
      </c>
      <c r="B2" s="680"/>
      <c r="C2" s="680"/>
      <c r="D2" s="680"/>
      <c r="E2" s="680"/>
      <c r="F2" s="680"/>
      <c r="G2" s="681"/>
    </row>
    <row r="3" spans="1:7" ht="15.75">
      <c r="A3" s="682" t="s">
        <v>144</v>
      </c>
      <c r="B3" s="680"/>
      <c r="C3" s="680"/>
      <c r="D3" s="680"/>
      <c r="E3" s="680"/>
      <c r="F3" s="680"/>
      <c r="G3" s="681"/>
    </row>
    <row r="4" spans="1:7" ht="15.75">
      <c r="A4" s="687" t="s">
        <v>427</v>
      </c>
      <c r="B4" s="688"/>
      <c r="C4" s="688"/>
      <c r="D4" s="688"/>
      <c r="E4" s="688"/>
      <c r="F4" s="688"/>
      <c r="G4" s="689"/>
    </row>
    <row r="5" spans="1:7" ht="15.75">
      <c r="A5" s="682" t="s">
        <v>645</v>
      </c>
      <c r="B5" s="680"/>
      <c r="C5" s="680"/>
      <c r="D5" s="680"/>
      <c r="E5" s="680"/>
      <c r="F5" s="680"/>
      <c r="G5" s="681"/>
    </row>
    <row r="6" spans="1:7" ht="15.75">
      <c r="A6" s="682"/>
      <c r="B6" s="680"/>
      <c r="C6" s="680"/>
      <c r="D6" s="680"/>
      <c r="E6" s="680"/>
      <c r="F6" s="680"/>
      <c r="G6" s="681"/>
    </row>
    <row r="7" spans="1:7" ht="15.75">
      <c r="A7" s="685" t="s">
        <v>434</v>
      </c>
      <c r="B7" s="686"/>
      <c r="C7" s="214"/>
      <c r="D7" s="214"/>
      <c r="E7" s="214"/>
      <c r="F7" s="214"/>
      <c r="G7" s="217">
        <v>1</v>
      </c>
    </row>
    <row r="8" spans="1:7" s="12" customFormat="1" ht="25.5" customHeight="1">
      <c r="A8" s="218" t="s">
        <v>82</v>
      </c>
      <c r="B8" s="218">
        <f>Parâmetros!C10</f>
        <v>2021</v>
      </c>
      <c r="C8" s="218" t="s">
        <v>13</v>
      </c>
      <c r="D8" s="218">
        <f>B8-1</f>
        <v>2020</v>
      </c>
      <c r="E8" s="218" t="s">
        <v>13</v>
      </c>
      <c r="F8" s="218">
        <f>D8-1</f>
        <v>2019</v>
      </c>
      <c r="G8" s="219" t="s">
        <v>13</v>
      </c>
    </row>
    <row r="9" spans="1:7" ht="15.75">
      <c r="A9" s="220" t="s">
        <v>83</v>
      </c>
      <c r="B9" s="248">
        <f>D13</f>
        <v>84286471.14</v>
      </c>
      <c r="C9" s="249">
        <f>IF(B13=0,"-",(B9/B13))</f>
        <v>0.7642268851244611</v>
      </c>
      <c r="D9" s="248">
        <f>F13</f>
        <v>69149764.12</v>
      </c>
      <c r="E9" s="249">
        <f>IF(D13=0,"-",(D9/D13))</f>
        <v>0.8204135632294073</v>
      </c>
      <c r="F9" s="403">
        <v>62799801.95</v>
      </c>
      <c r="G9" s="249">
        <f>IF(F13=0,"-",(F9/F13))</f>
        <v>0.9081708773585907</v>
      </c>
    </row>
    <row r="10" spans="1:7" ht="15.75">
      <c r="A10" s="220" t="s">
        <v>41</v>
      </c>
      <c r="B10" s="254">
        <v>0</v>
      </c>
      <c r="C10" s="249">
        <f>IF(B13=0,"-",(B10/B13))</f>
        <v>0</v>
      </c>
      <c r="D10" s="254">
        <v>0</v>
      </c>
      <c r="E10" s="249">
        <f>IF(D13=0,"-",(D10/D13))</f>
        <v>0</v>
      </c>
      <c r="F10" s="215"/>
      <c r="G10" s="249">
        <f>IF(F13=0,"-",(F10/F13))</f>
        <v>0</v>
      </c>
    </row>
    <row r="11" spans="1:7" ht="15.75">
      <c r="A11" s="221" t="s">
        <v>84</v>
      </c>
      <c r="B11" s="216">
        <v>26003382.28</v>
      </c>
      <c r="C11" s="252">
        <f>IF(B13=0,"-",(B11/B13))</f>
        <v>0.23577311487553884</v>
      </c>
      <c r="D11" s="438">
        <v>15136707.02</v>
      </c>
      <c r="E11" s="252">
        <f>IF(D13=0,"-",(D11/D13))</f>
        <v>0.17958643677059274</v>
      </c>
      <c r="F11" s="216">
        <v>6349962.17</v>
      </c>
      <c r="G11" s="252">
        <f>IF(F13=0,"-",(F11/F13))</f>
        <v>0.09182912264140923</v>
      </c>
    </row>
    <row r="12" spans="1:7" ht="15.75">
      <c r="A12" s="221" t="s">
        <v>646</v>
      </c>
      <c r="B12" s="216">
        <v>0</v>
      </c>
      <c r="C12" s="252">
        <f>IF(B13=0,"-",(B12/B13))</f>
        <v>0</v>
      </c>
      <c r="D12" s="216">
        <v>0</v>
      </c>
      <c r="E12" s="252">
        <f>IF(D13=0,"-",(D12/D13))</f>
        <v>0</v>
      </c>
      <c r="F12" s="216">
        <v>0</v>
      </c>
      <c r="G12" s="252">
        <f>IF(F13=0,"-",(F12/F13))</f>
        <v>0</v>
      </c>
    </row>
    <row r="13" spans="1:7" ht="15.75">
      <c r="A13" s="222" t="s">
        <v>85</v>
      </c>
      <c r="B13" s="253">
        <f aca="true" t="shared" si="0" ref="B13:G13">SUM(B9:B12)</f>
        <v>110289853.42</v>
      </c>
      <c r="C13" s="252">
        <f t="shared" si="0"/>
        <v>1</v>
      </c>
      <c r="D13" s="253">
        <f t="shared" si="0"/>
        <v>84286471.14</v>
      </c>
      <c r="E13" s="252">
        <f t="shared" si="0"/>
        <v>1</v>
      </c>
      <c r="F13" s="253">
        <f t="shared" si="0"/>
        <v>69149764.12</v>
      </c>
      <c r="G13" s="252">
        <f t="shared" si="0"/>
        <v>0.9999999999999999</v>
      </c>
    </row>
    <row r="14" spans="1:7" ht="15.75">
      <c r="A14" s="683"/>
      <c r="B14" s="683"/>
      <c r="C14" s="683"/>
      <c r="D14" s="683"/>
      <c r="E14" s="683"/>
      <c r="F14" s="683"/>
      <c r="G14" s="683"/>
    </row>
    <row r="15" spans="1:7" ht="15.75" customHeight="1">
      <c r="A15" s="684" t="s">
        <v>86</v>
      </c>
      <c r="B15" s="684"/>
      <c r="C15" s="684"/>
      <c r="D15" s="684"/>
      <c r="E15" s="684"/>
      <c r="F15" s="684"/>
      <c r="G15" s="684"/>
    </row>
    <row r="16" spans="1:7" s="12" customFormat="1" ht="25.5" customHeight="1">
      <c r="A16" s="218" t="s">
        <v>82</v>
      </c>
      <c r="B16" s="218">
        <f>Parâmetros!C10</f>
        <v>2021</v>
      </c>
      <c r="C16" s="218" t="s">
        <v>13</v>
      </c>
      <c r="D16" s="218">
        <f>B16-1</f>
        <v>2020</v>
      </c>
      <c r="E16" s="218" t="s">
        <v>13</v>
      </c>
      <c r="F16" s="218">
        <f>D16-1</f>
        <v>2019</v>
      </c>
      <c r="G16" s="219" t="s">
        <v>13</v>
      </c>
    </row>
    <row r="17" spans="1:7" ht="15.75">
      <c r="A17" s="220" t="s">
        <v>83</v>
      </c>
      <c r="B17" s="248">
        <f>D21</f>
        <v>-9938.509999997914</v>
      </c>
      <c r="C17" s="249">
        <f>IF(B21=0,"-",(B17/B21))</f>
        <v>2.661083978623383</v>
      </c>
      <c r="D17" s="248">
        <f>F21</f>
        <v>45805491.4</v>
      </c>
      <c r="E17" s="249">
        <f>IF(D21=0,"-",(D17/D21))</f>
        <v>-4608.889199689855</v>
      </c>
      <c r="F17" s="403">
        <v>25086800.04</v>
      </c>
      <c r="G17" s="249">
        <f>IF(F21=0,"-",(F17/F21))</f>
        <v>0.5476810590443748</v>
      </c>
    </row>
    <row r="18" spans="1:7" ht="15.75">
      <c r="A18" s="220" t="s">
        <v>41</v>
      </c>
      <c r="B18" s="215">
        <v>0</v>
      </c>
      <c r="C18" s="249">
        <f>IF(B21=0,"-",(B18/B21))</f>
        <v>0</v>
      </c>
      <c r="D18" s="215">
        <v>0</v>
      </c>
      <c r="E18" s="249">
        <f>IF(D21=0,"-",(D18/D21))</f>
        <v>0</v>
      </c>
      <c r="F18" s="215"/>
      <c r="G18" s="249">
        <f>IF(F21=0,"-",(F18/F21))</f>
        <v>0</v>
      </c>
    </row>
    <row r="19" spans="1:7" ht="15.75">
      <c r="A19" s="221" t="s">
        <v>84</v>
      </c>
      <c r="B19" s="216">
        <v>6203.75</v>
      </c>
      <c r="C19" s="252">
        <f>IF(B21=0,"-",(B19/B21))</f>
        <v>-1.6610839786233829</v>
      </c>
      <c r="D19" s="216">
        <v>-45815429.91</v>
      </c>
      <c r="E19" s="252">
        <f>IF(D21=0,"-",(D19/D21))</f>
        <v>4609.889199689855</v>
      </c>
      <c r="F19" s="216">
        <v>20718691.36</v>
      </c>
      <c r="G19" s="252">
        <f>IF(F21=0,"-",(F19/F21))</f>
        <v>0.45231894095562525</v>
      </c>
    </row>
    <row r="20" spans="1:9" ht="15.75">
      <c r="A20" s="221" t="s">
        <v>646</v>
      </c>
      <c r="B20" s="216">
        <v>0</v>
      </c>
      <c r="C20" s="252">
        <f>IF(B21=0,"-",(B20/B21))</f>
        <v>0</v>
      </c>
      <c r="D20" s="216">
        <v>0</v>
      </c>
      <c r="E20" s="252">
        <f>IF(D21=0,"-",(D20/D21))</f>
        <v>0</v>
      </c>
      <c r="F20" s="216">
        <v>0</v>
      </c>
      <c r="G20" s="252">
        <f>IF(F21=0,"-",(F20/F21))</f>
        <v>0</v>
      </c>
      <c r="I20" s="294"/>
    </row>
    <row r="21" spans="1:7" ht="15.75">
      <c r="A21" s="222" t="s">
        <v>85</v>
      </c>
      <c r="B21" s="253">
        <f aca="true" t="shared" si="1" ref="B21:G21">SUM(B17:B20)</f>
        <v>-3734.759999997914</v>
      </c>
      <c r="C21" s="252">
        <f t="shared" si="1"/>
        <v>1</v>
      </c>
      <c r="D21" s="253">
        <f t="shared" si="1"/>
        <v>-9938.509999997914</v>
      </c>
      <c r="E21" s="252">
        <f t="shared" si="1"/>
        <v>1</v>
      </c>
      <c r="F21" s="253">
        <f t="shared" si="1"/>
        <v>45805491.4</v>
      </c>
      <c r="G21" s="252">
        <f t="shared" si="1"/>
        <v>1</v>
      </c>
    </row>
    <row r="22" spans="1:7" ht="15.75">
      <c r="A22" s="692"/>
      <c r="B22" s="692"/>
      <c r="C22" s="692"/>
      <c r="D22" s="692"/>
      <c r="E22" s="692"/>
      <c r="F22" s="692"/>
      <c r="G22" s="692"/>
    </row>
    <row r="23" spans="1:7" ht="15.75" customHeight="1">
      <c r="A23" s="684" t="s">
        <v>166</v>
      </c>
      <c r="B23" s="684"/>
      <c r="C23" s="684"/>
      <c r="D23" s="684"/>
      <c r="E23" s="684"/>
      <c r="F23" s="684"/>
      <c r="G23" s="684"/>
    </row>
    <row r="24" spans="1:7" s="12" customFormat="1" ht="25.5" customHeight="1">
      <c r="A24" s="218" t="s">
        <v>82</v>
      </c>
      <c r="B24" s="218">
        <f>Parâmetros!C10</f>
        <v>2021</v>
      </c>
      <c r="C24" s="218" t="s">
        <v>13</v>
      </c>
      <c r="D24" s="218">
        <f>B24-1</f>
        <v>2020</v>
      </c>
      <c r="E24" s="218" t="s">
        <v>13</v>
      </c>
      <c r="F24" s="218">
        <f>D24-1</f>
        <v>2019</v>
      </c>
      <c r="G24" s="219" t="s">
        <v>13</v>
      </c>
    </row>
    <row r="25" spans="1:7" ht="15.75">
      <c r="A25" s="220" t="s">
        <v>83</v>
      </c>
      <c r="B25" s="248">
        <f>B9+B17</f>
        <v>84276532.63</v>
      </c>
      <c r="C25" s="249">
        <f>IF(B29=0,"-",(B25/B29))</f>
        <v>0.7641626494247685</v>
      </c>
      <c r="D25" s="248">
        <f>D9+D17</f>
        <v>114955255.52000001</v>
      </c>
      <c r="E25" s="249">
        <f>IF(D29=0,"-",(D25/D29))</f>
        <v>1.3640245028196527</v>
      </c>
      <c r="F25" s="248">
        <f>F9+F17</f>
        <v>87886601.99000001</v>
      </c>
      <c r="G25" s="249">
        <f>IF(F29=0,"-",(F25/F29))</f>
        <v>0.7645287863738377</v>
      </c>
    </row>
    <row r="26" spans="1:7" ht="15.75">
      <c r="A26" s="220" t="s">
        <v>41</v>
      </c>
      <c r="B26" s="250">
        <f>B10+B18</f>
        <v>0</v>
      </c>
      <c r="C26" s="249">
        <f>IF(B29=0,"-",(B26/B29))</f>
        <v>0</v>
      </c>
      <c r="D26" s="250">
        <f>D10+D18</f>
        <v>0</v>
      </c>
      <c r="E26" s="249">
        <f>IF(D29=0,"-",(D26/D29))</f>
        <v>0</v>
      </c>
      <c r="F26" s="250">
        <f>F10+F18</f>
        <v>0</v>
      </c>
      <c r="G26" s="249">
        <f>IF(F29=0,"-",(F26/F29))</f>
        <v>0</v>
      </c>
    </row>
    <row r="27" spans="1:7" ht="15.75">
      <c r="A27" s="221" t="s">
        <v>84</v>
      </c>
      <c r="B27" s="251">
        <f>B11+B19</f>
        <v>26009586.03</v>
      </c>
      <c r="C27" s="252">
        <f>IF(B29=0,"-",(B27/B29))</f>
        <v>0.2358373505752315</v>
      </c>
      <c r="D27" s="251">
        <f>D11+D19</f>
        <v>-30678722.889999997</v>
      </c>
      <c r="E27" s="252">
        <f>IF(D29=0,"-",(D27/D29))</f>
        <v>-0.36402450281965276</v>
      </c>
      <c r="F27" s="251">
        <f>F11+F19</f>
        <v>27068653.53</v>
      </c>
      <c r="G27" s="252">
        <f>IF(F29=0,"-",(F27/F29))</f>
        <v>0.23547121362616236</v>
      </c>
    </row>
    <row r="28" spans="1:9" ht="15.75">
      <c r="A28" s="221" t="s">
        <v>646</v>
      </c>
      <c r="B28" s="251">
        <f>B12+B20</f>
        <v>0</v>
      </c>
      <c r="C28" s="252">
        <f>IF(B29=0,"-",(B28/B29))</f>
        <v>0</v>
      </c>
      <c r="D28" s="251">
        <f>D12+D20</f>
        <v>0</v>
      </c>
      <c r="E28" s="252">
        <f>IF(D29=0,"-",(D28/D29))</f>
        <v>0</v>
      </c>
      <c r="F28" s="251">
        <f>F12+F20</f>
        <v>0</v>
      </c>
      <c r="G28" s="252">
        <f>IF(F29=0,"-",(F28/F29))</f>
        <v>0</v>
      </c>
      <c r="I28" s="341"/>
    </row>
    <row r="29" spans="1:7" ht="15.75">
      <c r="A29" s="222" t="s">
        <v>85</v>
      </c>
      <c r="B29" s="253">
        <f aca="true" t="shared" si="2" ref="B29:G29">SUM(B25:B28)</f>
        <v>110286118.66</v>
      </c>
      <c r="C29" s="252">
        <f t="shared" si="2"/>
        <v>1</v>
      </c>
      <c r="D29" s="253">
        <f t="shared" si="2"/>
        <v>84276532.63000001</v>
      </c>
      <c r="E29" s="252">
        <f t="shared" si="2"/>
        <v>1</v>
      </c>
      <c r="F29" s="253">
        <f t="shared" si="2"/>
        <v>114955255.52000001</v>
      </c>
      <c r="G29" s="252">
        <f t="shared" si="2"/>
        <v>1</v>
      </c>
    </row>
    <row r="30" spans="1:7" ht="15.75">
      <c r="A30" s="690" t="s">
        <v>671</v>
      </c>
      <c r="B30" s="691"/>
      <c r="C30" s="691"/>
      <c r="D30" s="691"/>
      <c r="E30" s="691"/>
      <c r="F30" s="691"/>
      <c r="G30" s="691"/>
    </row>
    <row r="34" ht="12.75">
      <c r="I34" s="294">
        <f>C25+C26+C27+C28</f>
        <v>1</v>
      </c>
    </row>
    <row r="44" ht="12.75">
      <c r="H44" s="11" t="s">
        <v>553</v>
      </c>
    </row>
  </sheetData>
  <sheetProtection/>
  <mergeCells count="12">
    <mergeCell ref="A30:G30"/>
    <mergeCell ref="A6:G6"/>
    <mergeCell ref="A23:G23"/>
    <mergeCell ref="A22:G22"/>
    <mergeCell ref="A1:G1"/>
    <mergeCell ref="A2:G2"/>
    <mergeCell ref="A14:G14"/>
    <mergeCell ref="A15:G15"/>
    <mergeCell ref="A7:B7"/>
    <mergeCell ref="A3:G3"/>
    <mergeCell ref="A4:G4"/>
    <mergeCell ref="A5:G5"/>
  </mergeCells>
  <printOptions/>
  <pageMargins left="0.787401575" right="0.787401575" top="0.984251969" bottom="0.984251969" header="0.492125985" footer="0.492125985"/>
  <pageSetup horizontalDpi="300" verticalDpi="300" orientation="portrait" scale="84" r:id="rId2"/>
  <drawing r:id="rId1"/>
</worksheet>
</file>

<file path=xl/worksheets/sheet12.xml><?xml version="1.0" encoding="utf-8"?>
<worksheet xmlns="http://schemas.openxmlformats.org/spreadsheetml/2006/main" xmlns:r="http://schemas.openxmlformats.org/officeDocument/2006/relationships">
  <sheetPr codeName="Plan15"/>
  <dimension ref="A1:G31"/>
  <sheetViews>
    <sheetView zoomScale="90" zoomScaleNormal="90" zoomScaleSheetLayoutView="90" zoomScalePageLayoutView="0" workbookViewId="0" topLeftCell="A7">
      <selection activeCell="A31" sqref="A31:G31"/>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703" t="str">
        <f>Parâmetros!A7</f>
        <v>Município de : IVOTI</v>
      </c>
      <c r="B1" s="701"/>
      <c r="C1" s="701"/>
      <c r="D1" s="702"/>
    </row>
    <row r="2" spans="1:4" ht="14.25">
      <c r="A2" s="700" t="s">
        <v>36</v>
      </c>
      <c r="B2" s="701"/>
      <c r="C2" s="701"/>
      <c r="D2" s="702"/>
    </row>
    <row r="3" spans="1:4" ht="14.25">
      <c r="A3" s="700" t="s">
        <v>144</v>
      </c>
      <c r="B3" s="701"/>
      <c r="C3" s="701"/>
      <c r="D3" s="702"/>
    </row>
    <row r="4" spans="1:4" ht="15">
      <c r="A4" s="704" t="s">
        <v>428</v>
      </c>
      <c r="B4" s="705"/>
      <c r="C4" s="705"/>
      <c r="D4" s="706"/>
    </row>
    <row r="5" spans="1:4" ht="14.25">
      <c r="A5" s="700" t="s">
        <v>639</v>
      </c>
      <c r="B5" s="701"/>
      <c r="C5" s="701"/>
      <c r="D5" s="702"/>
    </row>
    <row r="6" spans="1:4" ht="14.25">
      <c r="A6" s="700"/>
      <c r="B6" s="701"/>
      <c r="C6" s="701"/>
      <c r="D6" s="702"/>
    </row>
    <row r="7" spans="1:4" ht="14.25">
      <c r="A7" s="258" t="s">
        <v>433</v>
      </c>
      <c r="B7" s="259"/>
      <c r="C7" s="259"/>
      <c r="D7" s="260">
        <v>1</v>
      </c>
    </row>
    <row r="8" spans="1:4" s="14" customFormat="1" ht="25.5" customHeight="1">
      <c r="A8" s="261" t="s">
        <v>87</v>
      </c>
      <c r="B8" s="262">
        <f>Parâmetros!$C$10</f>
        <v>2021</v>
      </c>
      <c r="C8" s="262">
        <f>B8-1</f>
        <v>2020</v>
      </c>
      <c r="D8" s="263">
        <f>C8-1</f>
        <v>2019</v>
      </c>
    </row>
    <row r="9" spans="1:4" s="14" customFormat="1" ht="25.5" customHeight="1">
      <c r="A9" s="264" t="s">
        <v>647</v>
      </c>
      <c r="B9" s="289"/>
      <c r="C9" s="290"/>
      <c r="D9" s="265">
        <v>542062.8</v>
      </c>
    </row>
    <row r="10" spans="1:4" ht="12.75" customHeight="1">
      <c r="A10" s="266" t="s">
        <v>554</v>
      </c>
      <c r="B10" s="267">
        <f>B11</f>
        <v>1593063.5599999998</v>
      </c>
      <c r="C10" s="268">
        <f>C11</f>
        <v>223420.99</v>
      </c>
      <c r="D10" s="268">
        <f>D11</f>
        <v>174179.81</v>
      </c>
    </row>
    <row r="11" spans="1:4" ht="12.75" customHeight="1">
      <c r="A11" s="266" t="s">
        <v>555</v>
      </c>
      <c r="B11" s="268">
        <f>B12+B13+B14</f>
        <v>1593063.5599999998</v>
      </c>
      <c r="C11" s="268">
        <f>C12+C13+C14</f>
        <v>223420.99</v>
      </c>
      <c r="D11" s="268">
        <f>D12+D13+D14</f>
        <v>174179.81</v>
      </c>
    </row>
    <row r="12" spans="1:4" ht="12.75" customHeight="1">
      <c r="A12" s="266" t="s">
        <v>88</v>
      </c>
      <c r="B12" s="269">
        <v>2050</v>
      </c>
      <c r="C12" s="269">
        <v>201600</v>
      </c>
      <c r="D12" s="269">
        <f>117520+32600</f>
        <v>150120</v>
      </c>
    </row>
    <row r="13" spans="1:4" ht="12.75" customHeight="1">
      <c r="A13" s="266" t="s">
        <v>89</v>
      </c>
      <c r="B13" s="269">
        <f>1459788.53+91584.64</f>
        <v>1551373.17</v>
      </c>
      <c r="C13" s="269">
        <v>21820.99</v>
      </c>
      <c r="D13" s="269">
        <v>24059.81</v>
      </c>
    </row>
    <row r="14" spans="1:4" ht="12.75" customHeight="1">
      <c r="A14" s="266" t="s">
        <v>556</v>
      </c>
      <c r="B14" s="269">
        <f>38614.75+1025.64</f>
        <v>39640.39</v>
      </c>
      <c r="C14" s="269">
        <v>0</v>
      </c>
      <c r="D14" s="269">
        <v>0</v>
      </c>
    </row>
    <row r="15" spans="1:4" ht="12.75" customHeight="1">
      <c r="A15" s="266" t="s">
        <v>133</v>
      </c>
      <c r="B15" s="270">
        <v>0</v>
      </c>
      <c r="C15" s="270">
        <f>145.12</f>
        <v>145.12</v>
      </c>
      <c r="D15" s="270">
        <v>8257.04</v>
      </c>
    </row>
    <row r="16" spans="1:4" ht="15">
      <c r="A16" s="297" t="s">
        <v>557</v>
      </c>
      <c r="B16" s="271">
        <f>B12+B13+B14+B15</f>
        <v>1593063.5599999998</v>
      </c>
      <c r="C16" s="271">
        <f>C12+C13+C14+C15</f>
        <v>223566.11</v>
      </c>
      <c r="D16" s="271">
        <f>D9+D10+D15</f>
        <v>724499.6500000001</v>
      </c>
    </row>
    <row r="17" spans="1:4" ht="14.25">
      <c r="A17" s="699"/>
      <c r="B17" s="699"/>
      <c r="C17" s="699"/>
      <c r="D17" s="699"/>
    </row>
    <row r="18" spans="1:4" s="14" customFormat="1" ht="14.25">
      <c r="A18" s="693" t="s">
        <v>151</v>
      </c>
      <c r="B18" s="695">
        <f>B8</f>
        <v>2021</v>
      </c>
      <c r="C18" s="695">
        <f>B18-1</f>
        <v>2020</v>
      </c>
      <c r="D18" s="695">
        <f>C18-1</f>
        <v>2019</v>
      </c>
    </row>
    <row r="19" spans="1:4" s="14" customFormat="1" ht="14.25">
      <c r="A19" s="694"/>
      <c r="B19" s="696"/>
      <c r="C19" s="696"/>
      <c r="D19" s="696"/>
    </row>
    <row r="20" spans="1:4" ht="28.5">
      <c r="A20" s="272" t="s">
        <v>558</v>
      </c>
      <c r="B20" s="273"/>
      <c r="C20" s="273"/>
      <c r="D20" s="274"/>
    </row>
    <row r="21" spans="1:4" ht="14.25">
      <c r="A21" s="272" t="s">
        <v>90</v>
      </c>
      <c r="B21" s="275">
        <f>B22+B23+B24</f>
        <v>43587.39</v>
      </c>
      <c r="C21" s="275">
        <f>C22+C23+C24</f>
        <v>342120.32</v>
      </c>
      <c r="D21" s="276">
        <f>D22+D23+D24</f>
        <v>571721.49</v>
      </c>
    </row>
    <row r="22" spans="1:4" ht="14.25">
      <c r="A22" s="272" t="s">
        <v>91</v>
      </c>
      <c r="B22" s="277">
        <f>14594.7+28992.69</f>
        <v>43587.39</v>
      </c>
      <c r="C22" s="277">
        <f>10155.54+32061+299903.78</f>
        <v>342120.32</v>
      </c>
      <c r="D22" s="277">
        <f>411842.31+18009+141331.18+539</f>
        <v>571721.49</v>
      </c>
    </row>
    <row r="23" spans="1:4" ht="14.25">
      <c r="A23" s="272" t="s">
        <v>92</v>
      </c>
      <c r="B23" s="277"/>
      <c r="C23" s="277"/>
      <c r="D23" s="278"/>
    </row>
    <row r="24" spans="1:4" ht="14.25">
      <c r="A24" s="272" t="s">
        <v>93</v>
      </c>
      <c r="B24" s="277"/>
      <c r="C24" s="277">
        <v>0</v>
      </c>
      <c r="D24" s="278"/>
    </row>
    <row r="25" spans="1:4" ht="14.25">
      <c r="A25" s="272" t="s">
        <v>94</v>
      </c>
      <c r="B25" s="275">
        <f>B26+B27</f>
        <v>0</v>
      </c>
      <c r="C25" s="275">
        <f>C26+C27</f>
        <v>0</v>
      </c>
      <c r="D25" s="276">
        <f>D26+D27</f>
        <v>0</v>
      </c>
    </row>
    <row r="26" spans="1:4" ht="14.25">
      <c r="A26" s="272" t="s">
        <v>95</v>
      </c>
      <c r="B26" s="277">
        <v>0</v>
      </c>
      <c r="C26" s="277"/>
      <c r="D26" s="278"/>
    </row>
    <row r="27" spans="1:4" ht="14.25">
      <c r="A27" s="279" t="s">
        <v>96</v>
      </c>
      <c r="B27" s="280"/>
      <c r="C27" s="280"/>
      <c r="D27" s="281"/>
    </row>
    <row r="28" spans="1:4" ht="15">
      <c r="A28" s="298" t="s">
        <v>557</v>
      </c>
      <c r="B28" s="282">
        <f>B21+B25</f>
        <v>43587.39</v>
      </c>
      <c r="C28" s="282">
        <f>C21+C25</f>
        <v>342120.32</v>
      </c>
      <c r="D28" s="283">
        <f>D21+D25</f>
        <v>571721.49</v>
      </c>
    </row>
    <row r="29" spans="1:4" ht="14.25">
      <c r="A29" s="697" t="s">
        <v>97</v>
      </c>
      <c r="B29" s="280"/>
      <c r="C29" s="280"/>
      <c r="D29" s="281"/>
    </row>
    <row r="30" spans="1:4" ht="14.25">
      <c r="A30" s="698"/>
      <c r="B30" s="282">
        <f>C30+B16-B28</f>
        <v>1583700.12</v>
      </c>
      <c r="C30" s="282">
        <f>D30+C16-C28</f>
        <v>34223.95000000013</v>
      </c>
      <c r="D30" s="284">
        <f>D16-D28</f>
        <v>152778.16000000015</v>
      </c>
    </row>
    <row r="31" spans="1:7" ht="15.75">
      <c r="A31" s="690" t="s">
        <v>672</v>
      </c>
      <c r="B31" s="691"/>
      <c r="C31" s="691"/>
      <c r="D31" s="691"/>
      <c r="E31" s="691"/>
      <c r="F31" s="691"/>
      <c r="G31" s="691"/>
    </row>
  </sheetData>
  <sheetProtection/>
  <mergeCells count="13">
    <mergeCell ref="A17:D17"/>
    <mergeCell ref="A5:D5"/>
    <mergeCell ref="A6:D6"/>
    <mergeCell ref="A1:D1"/>
    <mergeCell ref="A2:D2"/>
    <mergeCell ref="A3:D3"/>
    <mergeCell ref="A4:D4"/>
    <mergeCell ref="A18:A19"/>
    <mergeCell ref="B18:B19"/>
    <mergeCell ref="C18:C19"/>
    <mergeCell ref="D18:D19"/>
    <mergeCell ref="A29:A30"/>
    <mergeCell ref="A31:G31"/>
  </mergeCells>
  <printOptions/>
  <pageMargins left="0.787401575" right="0.787401575" top="0.984251969" bottom="0.984251969" header="0.492125985" footer="0.492125985"/>
  <pageSetup horizontalDpi="300" verticalDpi="300" orientation="portrait" scale="84" r:id="rId2"/>
  <drawing r:id="rId1"/>
</worksheet>
</file>

<file path=xl/worksheets/sheet13.xml><?xml version="1.0" encoding="utf-8"?>
<worksheet xmlns="http://schemas.openxmlformats.org/spreadsheetml/2006/main" xmlns:r="http://schemas.openxmlformats.org/officeDocument/2006/relationships">
  <dimension ref="A1:K93"/>
  <sheetViews>
    <sheetView zoomScalePageLayoutView="0" workbookViewId="0" topLeftCell="A37">
      <selection activeCell="H117" sqref="H117"/>
    </sheetView>
  </sheetViews>
  <sheetFormatPr defaultColWidth="4.140625" defaultRowHeight="11.25" customHeight="1"/>
  <cols>
    <col min="1" max="1" width="58.7109375" style="342" customWidth="1"/>
    <col min="2" max="2" width="12.00390625" style="342" customWidth="1"/>
    <col min="3" max="3" width="6.421875" style="342" customWidth="1"/>
    <col min="4" max="4" width="16.57421875" style="342" customWidth="1"/>
    <col min="5" max="5" width="13.140625" style="342" customWidth="1"/>
    <col min="6" max="6" width="5.421875" style="342" customWidth="1"/>
    <col min="7" max="16384" width="4.140625" style="342" customWidth="1"/>
  </cols>
  <sheetData>
    <row r="1" spans="1:4" ht="12.75">
      <c r="A1" s="738" t="str">
        <f>Parâmetros!A7</f>
        <v>Município de : IVOTI</v>
      </c>
      <c r="B1" s="739"/>
      <c r="C1" s="739"/>
      <c r="D1" s="739"/>
    </row>
    <row r="2" spans="1:4" ht="12.75">
      <c r="A2" s="739" t="s">
        <v>36</v>
      </c>
      <c r="B2" s="739"/>
      <c r="C2" s="739"/>
      <c r="D2" s="739"/>
    </row>
    <row r="3" spans="1:4" ht="12.75">
      <c r="A3" s="739" t="s">
        <v>144</v>
      </c>
      <c r="B3" s="739"/>
      <c r="C3" s="739"/>
      <c r="D3" s="739"/>
    </row>
    <row r="4" spans="1:4" ht="12.75">
      <c r="A4" s="740" t="s">
        <v>414</v>
      </c>
      <c r="B4" s="740"/>
      <c r="C4" s="740"/>
      <c r="D4" s="740"/>
    </row>
    <row r="5" spans="1:4" ht="12.75">
      <c r="A5" s="739" t="s">
        <v>639</v>
      </c>
      <c r="B5" s="739"/>
      <c r="C5" s="739"/>
      <c r="D5" s="739"/>
    </row>
    <row r="6" spans="1:4" ht="11.25" customHeight="1">
      <c r="A6" s="343"/>
      <c r="B6" s="343"/>
      <c r="C6" s="343"/>
      <c r="D6" s="343"/>
    </row>
    <row r="7" spans="1:6" ht="11.25" customHeight="1" thickBot="1">
      <c r="A7" s="741" t="s">
        <v>377</v>
      </c>
      <c r="B7" s="741"/>
      <c r="C7" s="741"/>
      <c r="D7" s="741"/>
      <c r="E7" s="732">
        <v>1</v>
      </c>
      <c r="F7" s="732"/>
    </row>
    <row r="8" spans="1:6" ht="19.5" customHeight="1" thickBot="1">
      <c r="A8" s="733" t="s">
        <v>601</v>
      </c>
      <c r="B8" s="733"/>
      <c r="C8" s="733"/>
      <c r="D8" s="733"/>
      <c r="E8" s="733"/>
      <c r="F8" s="733"/>
    </row>
    <row r="9" spans="1:6" s="344" customFormat="1" ht="15" customHeight="1">
      <c r="A9" s="734" t="s">
        <v>378</v>
      </c>
      <c r="B9" s="735"/>
      <c r="C9" s="735"/>
      <c r="D9" s="735"/>
      <c r="E9" s="735"/>
      <c r="F9" s="735"/>
    </row>
    <row r="10" spans="1:6" ht="12.75" customHeight="1">
      <c r="A10" s="345" t="s">
        <v>379</v>
      </c>
      <c r="B10" s="722">
        <f>D10-1</f>
        <v>2019</v>
      </c>
      <c r="C10" s="718"/>
      <c r="D10" s="346">
        <f>E10-1</f>
        <v>2020</v>
      </c>
      <c r="E10" s="736">
        <f>Parâmetros!C10</f>
        <v>2021</v>
      </c>
      <c r="F10" s="736"/>
    </row>
    <row r="11" spans="1:6" ht="12.75">
      <c r="A11" s="342" t="s">
        <v>380</v>
      </c>
      <c r="B11" s="712">
        <f>B12+B21+B30+B34+B35</f>
        <v>17636470.509999998</v>
      </c>
      <c r="C11" s="713"/>
      <c r="D11" s="440">
        <f>D12+D21+D30+D34+D35</f>
        <v>14920375.139999999</v>
      </c>
      <c r="E11" s="712">
        <f>E12+E21+E30+E34+E35</f>
        <v>13856982.680000002</v>
      </c>
      <c r="F11" s="719"/>
    </row>
    <row r="12" spans="1:6" ht="12.75">
      <c r="A12" s="347" t="s">
        <v>381</v>
      </c>
      <c r="B12" s="712">
        <f>B13</f>
        <v>2704480.45</v>
      </c>
      <c r="C12" s="713"/>
      <c r="D12" s="440">
        <f>D13</f>
        <v>2788180.8</v>
      </c>
      <c r="E12" s="712">
        <f>E13</f>
        <v>3688740.98</v>
      </c>
      <c r="F12" s="719"/>
    </row>
    <row r="13" spans="1:6" ht="12.75">
      <c r="A13" s="349" t="s">
        <v>382</v>
      </c>
      <c r="B13" s="712">
        <f>B14+B15+B16</f>
        <v>2704480.45</v>
      </c>
      <c r="C13" s="713"/>
      <c r="D13" s="440">
        <f>D14+D15+D16</f>
        <v>2788180.8</v>
      </c>
      <c r="E13" s="712">
        <f>E14+E15+E16</f>
        <v>3688740.98</v>
      </c>
      <c r="F13" s="719"/>
    </row>
    <row r="14" spans="1:6" ht="12.75">
      <c r="A14" s="350" t="s">
        <v>383</v>
      </c>
      <c r="B14" s="712">
        <v>2695611.68</v>
      </c>
      <c r="C14" s="713"/>
      <c r="D14" s="440">
        <v>2779756.8</v>
      </c>
      <c r="E14" s="712">
        <v>3679944.38</v>
      </c>
      <c r="F14" s="719"/>
    </row>
    <row r="15" spans="1:6" ht="12.75">
      <c r="A15" s="350" t="s">
        <v>384</v>
      </c>
      <c r="B15" s="712">
        <v>8868.77</v>
      </c>
      <c r="C15" s="713"/>
      <c r="D15" s="440">
        <v>8424</v>
      </c>
      <c r="E15" s="712">
        <v>8796.6</v>
      </c>
      <c r="F15" s="719"/>
    </row>
    <row r="16" spans="1:6" ht="12.75">
      <c r="A16" s="350" t="s">
        <v>385</v>
      </c>
      <c r="B16" s="712"/>
      <c r="C16" s="713"/>
      <c r="D16" s="440"/>
      <c r="E16" s="712"/>
      <c r="F16" s="719"/>
    </row>
    <row r="17" spans="1:6" ht="12.75">
      <c r="A17" s="349" t="s">
        <v>386</v>
      </c>
      <c r="B17" s="712"/>
      <c r="C17" s="713"/>
      <c r="D17" s="440"/>
      <c r="E17" s="712"/>
      <c r="F17" s="719"/>
    </row>
    <row r="18" spans="1:6" ht="12.75">
      <c r="A18" s="350" t="s">
        <v>383</v>
      </c>
      <c r="B18" s="712"/>
      <c r="C18" s="713"/>
      <c r="D18" s="440"/>
      <c r="E18" s="712"/>
      <c r="F18" s="719"/>
    </row>
    <row r="19" spans="1:6" ht="12.75">
      <c r="A19" s="350" t="s">
        <v>384</v>
      </c>
      <c r="B19" s="712"/>
      <c r="C19" s="713"/>
      <c r="D19" s="440"/>
      <c r="E19" s="712"/>
      <c r="F19" s="719"/>
    </row>
    <row r="20" spans="1:6" ht="12.75">
      <c r="A20" s="350" t="s">
        <v>385</v>
      </c>
      <c r="B20" s="712"/>
      <c r="C20" s="713"/>
      <c r="D20" s="440"/>
      <c r="E20" s="712"/>
      <c r="F20" s="719"/>
    </row>
    <row r="21" spans="1:6" ht="12.75">
      <c r="A21" s="342" t="s">
        <v>387</v>
      </c>
      <c r="B21" s="712">
        <f>B22</f>
        <v>7620493.68</v>
      </c>
      <c r="C21" s="713"/>
      <c r="D21" s="440">
        <f>D22</f>
        <v>7761034.4399999995</v>
      </c>
      <c r="E21" s="712">
        <f>E22</f>
        <v>8172024.5600000005</v>
      </c>
      <c r="F21" s="719"/>
    </row>
    <row r="22" spans="1:6" ht="12.75">
      <c r="A22" s="349" t="s">
        <v>382</v>
      </c>
      <c r="B22" s="712">
        <f>B23+B24</f>
        <v>7620493.68</v>
      </c>
      <c r="C22" s="713"/>
      <c r="D22" s="440">
        <f>D23+D24</f>
        <v>7761034.4399999995</v>
      </c>
      <c r="E22" s="712">
        <f>E23+E24</f>
        <v>8172024.5600000005</v>
      </c>
      <c r="F22" s="719"/>
    </row>
    <row r="23" spans="1:6" ht="12.75">
      <c r="A23" s="350" t="s">
        <v>383</v>
      </c>
      <c r="B23" s="712">
        <v>7599799.01</v>
      </c>
      <c r="C23" s="713"/>
      <c r="D23" s="440">
        <f>7728621.43+9147.09</f>
        <v>7737768.52</v>
      </c>
      <c r="E23" s="712">
        <v>8152546.4</v>
      </c>
      <c r="F23" s="719"/>
    </row>
    <row r="24" spans="1:6" ht="12.75">
      <c r="A24" s="350" t="s">
        <v>384</v>
      </c>
      <c r="B24" s="712">
        <v>20694.67</v>
      </c>
      <c r="C24" s="713"/>
      <c r="D24" s="440">
        <v>23265.92</v>
      </c>
      <c r="E24" s="712">
        <v>19478.16</v>
      </c>
      <c r="F24" s="719"/>
    </row>
    <row r="25" spans="1:6" ht="12.75">
      <c r="A25" s="350" t="s">
        <v>385</v>
      </c>
      <c r="B25" s="712"/>
      <c r="C25" s="713"/>
      <c r="D25" s="440"/>
      <c r="E25" s="712"/>
      <c r="F25" s="719"/>
    </row>
    <row r="26" spans="1:6" ht="12.75">
      <c r="A26" s="349" t="s">
        <v>386</v>
      </c>
      <c r="B26" s="712"/>
      <c r="C26" s="713"/>
      <c r="D26" s="440"/>
      <c r="E26" s="712"/>
      <c r="F26" s="719"/>
    </row>
    <row r="27" spans="1:6" ht="12.75">
      <c r="A27" s="350" t="s">
        <v>383</v>
      </c>
      <c r="B27" s="712"/>
      <c r="C27" s="713"/>
      <c r="D27" s="440"/>
      <c r="E27" s="712"/>
      <c r="F27" s="719"/>
    </row>
    <row r="28" spans="1:6" ht="12.75">
      <c r="A28" s="350" t="s">
        <v>384</v>
      </c>
      <c r="B28" s="712"/>
      <c r="C28" s="713"/>
      <c r="D28" s="440"/>
      <c r="E28" s="712"/>
      <c r="F28" s="719"/>
    </row>
    <row r="29" spans="1:6" ht="12.75">
      <c r="A29" s="350" t="s">
        <v>385</v>
      </c>
      <c r="B29" s="712"/>
      <c r="C29" s="713"/>
      <c r="D29" s="440"/>
      <c r="E29" s="712"/>
      <c r="F29" s="719"/>
    </row>
    <row r="30" spans="1:6" ht="12.75">
      <c r="A30" s="347" t="s">
        <v>216</v>
      </c>
      <c r="B30" s="712">
        <f>B32</f>
        <v>7163458.1</v>
      </c>
      <c r="C30" s="713"/>
      <c r="D30" s="440">
        <f>D32</f>
        <v>4216605.9</v>
      </c>
      <c r="E30" s="712">
        <f>E32</f>
        <v>1871085.68</v>
      </c>
      <c r="F30" s="719"/>
    </row>
    <row r="31" spans="1:6" ht="12.75">
      <c r="A31" s="349" t="s">
        <v>388</v>
      </c>
      <c r="B31" s="712"/>
      <c r="C31" s="713"/>
      <c r="D31" s="440"/>
      <c r="E31" s="712"/>
      <c r="F31" s="719"/>
    </row>
    <row r="32" spans="1:6" ht="12.75">
      <c r="A32" s="349" t="s">
        <v>389</v>
      </c>
      <c r="B32" s="712">
        <v>7163458.1</v>
      </c>
      <c r="C32" s="713"/>
      <c r="D32" s="440">
        <v>4216605.9</v>
      </c>
      <c r="E32" s="712">
        <v>1871085.68</v>
      </c>
      <c r="F32" s="719"/>
    </row>
    <row r="33" spans="1:6" ht="12.75">
      <c r="A33" s="349" t="s">
        <v>390</v>
      </c>
      <c r="B33" s="712"/>
      <c r="C33" s="713"/>
      <c r="D33" s="440"/>
      <c r="E33" s="712"/>
      <c r="F33" s="719"/>
    </row>
    <row r="34" spans="1:6" ht="12.75">
      <c r="A34" s="347" t="s">
        <v>238</v>
      </c>
      <c r="B34" s="712"/>
      <c r="C34" s="713"/>
      <c r="D34" s="440"/>
      <c r="E34" s="712"/>
      <c r="F34" s="719"/>
    </row>
    <row r="35" spans="1:6" ht="12.75">
      <c r="A35" s="347" t="s">
        <v>293</v>
      </c>
      <c r="B35" s="712">
        <f>B36</f>
        <v>148038.28</v>
      </c>
      <c r="C35" s="713"/>
      <c r="D35" s="440">
        <f>D36</f>
        <v>154554</v>
      </c>
      <c r="E35" s="712">
        <f>E36</f>
        <v>125131.46</v>
      </c>
      <c r="F35" s="719"/>
    </row>
    <row r="36" spans="1:6" ht="12.75">
      <c r="A36" s="349" t="s">
        <v>391</v>
      </c>
      <c r="B36" s="712">
        <v>148038.28</v>
      </c>
      <c r="C36" s="713"/>
      <c r="D36" s="440">
        <v>154554</v>
      </c>
      <c r="E36" s="712">
        <v>125131.46</v>
      </c>
      <c r="F36" s="719"/>
    </row>
    <row r="37" spans="1:6" ht="12.75" customHeight="1">
      <c r="A37" s="351" t="s">
        <v>674</v>
      </c>
      <c r="B37" s="712"/>
      <c r="C37" s="713"/>
      <c r="D37" s="440"/>
      <c r="E37" s="712"/>
      <c r="F37" s="719"/>
    </row>
    <row r="38" spans="1:6" ht="12.75">
      <c r="A38" s="349" t="s">
        <v>299</v>
      </c>
      <c r="B38" s="712"/>
      <c r="C38" s="713"/>
      <c r="D38" s="440"/>
      <c r="E38" s="712"/>
      <c r="F38" s="719"/>
    </row>
    <row r="39" spans="1:6" ht="12.75">
      <c r="A39" s="342" t="s">
        <v>602</v>
      </c>
      <c r="B39" s="712"/>
      <c r="C39" s="713"/>
      <c r="D39" s="440"/>
      <c r="E39" s="712"/>
      <c r="F39" s="719"/>
    </row>
    <row r="40" spans="1:6" ht="12.75">
      <c r="A40" s="347" t="s">
        <v>392</v>
      </c>
      <c r="B40" s="712"/>
      <c r="C40" s="713"/>
      <c r="D40" s="440"/>
      <c r="E40" s="712"/>
      <c r="F40" s="719"/>
    </row>
    <row r="41" spans="1:6" ht="12.75">
      <c r="A41" s="347" t="s">
        <v>318</v>
      </c>
      <c r="B41" s="712"/>
      <c r="C41" s="713"/>
      <c r="D41" s="440"/>
      <c r="E41" s="712"/>
      <c r="F41" s="719"/>
    </row>
    <row r="42" spans="1:6" ht="12.75">
      <c r="A42" s="347" t="s">
        <v>329</v>
      </c>
      <c r="B42" s="712"/>
      <c r="C42" s="713"/>
      <c r="D42" s="440"/>
      <c r="E42" s="712"/>
      <c r="F42" s="719"/>
    </row>
    <row r="43" spans="1:6" ht="12.75">
      <c r="A43" s="352" t="s">
        <v>603</v>
      </c>
      <c r="B43" s="709">
        <f>B11</f>
        <v>17636470.509999998</v>
      </c>
      <c r="C43" s="710"/>
      <c r="D43" s="441">
        <f>D11</f>
        <v>14920375.139999999</v>
      </c>
      <c r="E43" s="709">
        <f>E11</f>
        <v>13856982.680000002</v>
      </c>
      <c r="F43" s="710"/>
    </row>
    <row r="44" ht="6.75" customHeight="1"/>
    <row r="45" spans="1:6" ht="12.75" customHeight="1">
      <c r="A45" s="353" t="s">
        <v>393</v>
      </c>
      <c r="B45" s="737">
        <f>B10</f>
        <v>2019</v>
      </c>
      <c r="C45" s="725"/>
      <c r="D45" s="354">
        <f>D10</f>
        <v>2020</v>
      </c>
      <c r="E45" s="737">
        <f>E10</f>
        <v>2021</v>
      </c>
      <c r="F45" s="725"/>
    </row>
    <row r="46" spans="1:6" ht="12.75">
      <c r="A46" s="347" t="s">
        <v>394</v>
      </c>
      <c r="B46" s="712">
        <f>B47+B48+B49</f>
        <v>3829822.5600000005</v>
      </c>
      <c r="C46" s="713"/>
      <c r="D46" s="440">
        <f>D47+D48+D49</f>
        <v>3893272.1999999997</v>
      </c>
      <c r="E46" s="712">
        <f>E47+E48+E49</f>
        <v>4049054.96</v>
      </c>
      <c r="F46" s="719"/>
    </row>
    <row r="47" spans="1:6" ht="12.75">
      <c r="A47" s="355" t="s">
        <v>395</v>
      </c>
      <c r="B47" s="712">
        <v>2658029.24</v>
      </c>
      <c r="C47" s="719"/>
      <c r="D47" s="440">
        <v>3253166.58</v>
      </c>
      <c r="E47" s="712">
        <v>3763058.32</v>
      </c>
      <c r="F47" s="719"/>
    </row>
    <row r="48" spans="1:6" ht="12.75">
      <c r="A48" s="355" t="s">
        <v>396</v>
      </c>
      <c r="B48" s="712">
        <v>258461.85</v>
      </c>
      <c r="C48" s="713"/>
      <c r="D48" s="440">
        <v>269985.55</v>
      </c>
      <c r="E48" s="712">
        <v>285996.64</v>
      </c>
      <c r="F48" s="719"/>
    </row>
    <row r="49" spans="1:6" ht="12.75">
      <c r="A49" s="355" t="s">
        <v>397</v>
      </c>
      <c r="B49" s="712">
        <v>913331.47</v>
      </c>
      <c r="C49" s="713"/>
      <c r="D49" s="440">
        <v>370120.07</v>
      </c>
      <c r="E49" s="712"/>
      <c r="F49" s="719"/>
    </row>
    <row r="50" spans="1:6" ht="12.75">
      <c r="A50" s="347" t="s">
        <v>398</v>
      </c>
      <c r="B50" s="747"/>
      <c r="C50" s="748"/>
      <c r="D50" s="439"/>
      <c r="E50" s="744"/>
      <c r="F50" s="745"/>
    </row>
    <row r="51" spans="1:6" ht="12.75">
      <c r="A51" s="355" t="s">
        <v>399</v>
      </c>
      <c r="B51" s="747"/>
      <c r="C51" s="748"/>
      <c r="D51" s="439"/>
      <c r="E51" s="744"/>
      <c r="F51" s="745"/>
    </row>
    <row r="52" spans="1:6" ht="12.75">
      <c r="A52" s="355" t="s">
        <v>396</v>
      </c>
      <c r="B52" s="747"/>
      <c r="C52" s="748"/>
      <c r="D52" s="439"/>
      <c r="E52" s="744"/>
      <c r="F52" s="745"/>
    </row>
    <row r="53" spans="1:6" ht="12.75">
      <c r="A53" s="355" t="s">
        <v>397</v>
      </c>
      <c r="B53" s="747"/>
      <c r="C53" s="748"/>
      <c r="D53" s="439"/>
      <c r="E53" s="744"/>
      <c r="F53" s="745"/>
    </row>
    <row r="54" spans="1:6" ht="12.75">
      <c r="A54" s="356" t="s">
        <v>400</v>
      </c>
      <c r="B54" s="712">
        <f>B55</f>
        <v>70150.65</v>
      </c>
      <c r="C54" s="713"/>
      <c r="D54" s="440">
        <f>D55+D56</f>
        <v>353042.33999999997</v>
      </c>
      <c r="E54" s="712">
        <f>E55</f>
        <v>57605.21</v>
      </c>
      <c r="F54" s="719"/>
    </row>
    <row r="55" spans="1:6" ht="12.75">
      <c r="A55" s="355" t="s">
        <v>401</v>
      </c>
      <c r="B55" s="747">
        <v>70150.65</v>
      </c>
      <c r="C55" s="748"/>
      <c r="D55" s="440">
        <v>134909.05</v>
      </c>
      <c r="E55" s="744">
        <v>57605.21</v>
      </c>
      <c r="F55" s="745"/>
    </row>
    <row r="56" spans="1:6" ht="12.75">
      <c r="A56" s="355" t="s">
        <v>402</v>
      </c>
      <c r="B56" s="747"/>
      <c r="C56" s="748"/>
      <c r="D56" s="440">
        <v>218133.29</v>
      </c>
      <c r="E56" s="744"/>
      <c r="F56" s="745"/>
    </row>
    <row r="57" spans="1:6" ht="12.75">
      <c r="A57" s="357" t="s">
        <v>604</v>
      </c>
      <c r="B57" s="742">
        <f>B46+B54</f>
        <v>3899973.2100000004</v>
      </c>
      <c r="C57" s="743"/>
      <c r="D57" s="442">
        <f>D46+D54</f>
        <v>4246314.54</v>
      </c>
      <c r="E57" s="742">
        <f>E46+E54</f>
        <v>4106660.17</v>
      </c>
      <c r="F57" s="746"/>
    </row>
    <row r="58" spans="1:4" ht="7.5" customHeight="1">
      <c r="A58" s="358"/>
      <c r="B58" s="359"/>
      <c r="C58" s="360"/>
      <c r="D58" s="360"/>
    </row>
    <row r="59" spans="1:6" ht="12.75">
      <c r="A59" s="361" t="s">
        <v>673</v>
      </c>
      <c r="B59" s="742">
        <f>B43-B57</f>
        <v>13736497.299999997</v>
      </c>
      <c r="C59" s="743"/>
      <c r="D59" s="443">
        <f>D43-D57</f>
        <v>10674060.599999998</v>
      </c>
      <c r="E59" s="742">
        <f>E43-E57</f>
        <v>9750322.510000002</v>
      </c>
      <c r="F59" s="746"/>
    </row>
    <row r="60" spans="1:6" ht="8.25" customHeight="1">
      <c r="A60" s="362"/>
      <c r="B60" s="363"/>
      <c r="C60" s="363"/>
      <c r="D60" s="364"/>
      <c r="E60" s="364"/>
      <c r="F60" s="364"/>
    </row>
    <row r="61" spans="1:8" s="367" customFormat="1" ht="12.75" customHeight="1">
      <c r="A61" s="365" t="s">
        <v>403</v>
      </c>
      <c r="B61" s="737">
        <f>B45</f>
        <v>2019</v>
      </c>
      <c r="C61" s="725"/>
      <c r="D61" s="354">
        <f>D45</f>
        <v>2020</v>
      </c>
      <c r="E61" s="725">
        <f>E45</f>
        <v>2021</v>
      </c>
      <c r="F61" s="725"/>
      <c r="G61" s="366"/>
      <c r="H61" s="366"/>
    </row>
    <row r="62" spans="1:8" ht="12.75">
      <c r="A62" s="368" t="s">
        <v>404</v>
      </c>
      <c r="B62" s="726"/>
      <c r="C62" s="727"/>
      <c r="D62" s="727"/>
      <c r="E62" s="727"/>
      <c r="F62" s="727"/>
      <c r="G62" s="369"/>
      <c r="H62" s="369"/>
    </row>
    <row r="63" spans="1:6" ht="7.5" customHeight="1">
      <c r="A63" s="362"/>
      <c r="B63" s="363"/>
      <c r="C63" s="364"/>
      <c r="D63" s="370"/>
      <c r="E63" s="370"/>
      <c r="F63" s="370"/>
    </row>
    <row r="64" spans="1:6" ht="12.75">
      <c r="A64" s="365" t="s">
        <v>164</v>
      </c>
      <c r="B64" s="728">
        <f>B61</f>
        <v>2019</v>
      </c>
      <c r="C64" s="729"/>
      <c r="D64" s="371">
        <f>D61</f>
        <v>2020</v>
      </c>
      <c r="E64" s="729">
        <f>E61</f>
        <v>2021</v>
      </c>
      <c r="F64" s="729"/>
    </row>
    <row r="65" spans="1:6" ht="12.75" customHeight="1">
      <c r="A65" s="368" t="s">
        <v>404</v>
      </c>
      <c r="B65" s="712">
        <v>11500000</v>
      </c>
      <c r="C65" s="713"/>
      <c r="D65" s="444">
        <v>15450000</v>
      </c>
      <c r="E65" s="712">
        <v>13440000</v>
      </c>
      <c r="F65" s="713"/>
    </row>
    <row r="66" spans="2:4" ht="12.75">
      <c r="B66" s="372"/>
      <c r="C66" s="373"/>
      <c r="D66" s="373"/>
    </row>
    <row r="67" spans="1:6" ht="12.75">
      <c r="A67" s="365" t="s">
        <v>405</v>
      </c>
      <c r="B67" s="722">
        <f>B64</f>
        <v>2019</v>
      </c>
      <c r="C67" s="718"/>
      <c r="D67" s="374">
        <f>D64</f>
        <v>2020</v>
      </c>
      <c r="E67" s="718">
        <f>E64</f>
        <v>2021</v>
      </c>
      <c r="F67" s="718"/>
    </row>
    <row r="68" spans="1:6" ht="12.75">
      <c r="A68" s="375" t="s">
        <v>406</v>
      </c>
      <c r="B68" s="712">
        <v>3652257.12</v>
      </c>
      <c r="C68" s="713"/>
      <c r="D68" s="444">
        <v>3692036.96</v>
      </c>
      <c r="E68" s="712">
        <v>3923764.32</v>
      </c>
      <c r="F68" s="713"/>
    </row>
    <row r="69" spans="1:6" ht="12.75">
      <c r="A69" s="378" t="s">
        <v>407</v>
      </c>
      <c r="B69" s="723"/>
      <c r="C69" s="723"/>
      <c r="D69" s="445"/>
      <c r="E69" s="723"/>
      <c r="F69" s="723"/>
    </row>
    <row r="70" spans="1:6" ht="12.75">
      <c r="A70" s="342" t="s">
        <v>408</v>
      </c>
      <c r="B70" s="723"/>
      <c r="C70" s="723"/>
      <c r="D70" s="445"/>
      <c r="E70" s="723"/>
      <c r="F70" s="723"/>
    </row>
    <row r="71" spans="1:6" ht="12.75" customHeight="1">
      <c r="A71" s="380" t="s">
        <v>409</v>
      </c>
      <c r="B71" s="723"/>
      <c r="C71" s="723"/>
      <c r="D71" s="444"/>
      <c r="E71" s="723"/>
      <c r="F71" s="723"/>
    </row>
    <row r="72" spans="1:4" ht="12.75">
      <c r="A72" s="381"/>
      <c r="B72" s="381"/>
      <c r="C72" s="381"/>
      <c r="D72" s="381"/>
    </row>
    <row r="73" spans="1:6" ht="12.75">
      <c r="A73" s="382" t="s">
        <v>165</v>
      </c>
      <c r="B73" s="730">
        <f>B67</f>
        <v>2019</v>
      </c>
      <c r="C73" s="731"/>
      <c r="D73" s="383">
        <f>D67</f>
        <v>2020</v>
      </c>
      <c r="E73" s="730">
        <f>E67</f>
        <v>2021</v>
      </c>
      <c r="F73" s="731"/>
    </row>
    <row r="74" spans="1:6" ht="12.75">
      <c r="A74" s="384" t="s">
        <v>410</v>
      </c>
      <c r="B74" s="724"/>
      <c r="C74" s="724"/>
      <c r="D74" s="446"/>
      <c r="E74" s="723">
        <v>256</v>
      </c>
      <c r="F74" s="723"/>
    </row>
    <row r="75" spans="1:6" ht="12.75">
      <c r="A75" s="348" t="s">
        <v>411</v>
      </c>
      <c r="B75" s="712">
        <v>76563722.73</v>
      </c>
      <c r="C75" s="713"/>
      <c r="D75" s="444">
        <v>87025783.59</v>
      </c>
      <c r="E75" s="712">
        <v>96706666.38</v>
      </c>
      <c r="F75" s="713"/>
    </row>
    <row r="76" spans="1:6" ht="12.75">
      <c r="A76" s="385" t="s">
        <v>412</v>
      </c>
      <c r="B76" s="724"/>
      <c r="C76" s="724"/>
      <c r="D76" s="446"/>
      <c r="E76" s="723"/>
      <c r="F76" s="723"/>
    </row>
    <row r="77" spans="1:2" ht="9" customHeight="1">
      <c r="A77" s="386"/>
      <c r="B77" s="387"/>
    </row>
    <row r="78" spans="1:6" ht="11.25" customHeight="1">
      <c r="A78" s="392"/>
      <c r="B78" s="393"/>
      <c r="C78" s="394"/>
      <c r="D78" s="394"/>
      <c r="E78" s="394"/>
      <c r="F78" s="395"/>
    </row>
    <row r="79" spans="1:6" ht="11.25" customHeight="1">
      <c r="A79" s="365" t="s">
        <v>605</v>
      </c>
      <c r="B79" s="718">
        <f>B73</f>
        <v>2019</v>
      </c>
      <c r="C79" s="718"/>
      <c r="D79" s="389">
        <f>D73</f>
        <v>2020</v>
      </c>
      <c r="E79" s="722">
        <f>E73</f>
        <v>2021</v>
      </c>
      <c r="F79" s="718"/>
    </row>
    <row r="80" spans="1:6" ht="11.25" customHeight="1">
      <c r="A80" s="375" t="s">
        <v>606</v>
      </c>
      <c r="B80" s="376"/>
      <c r="C80" s="377"/>
      <c r="D80" s="390"/>
      <c r="E80" s="707">
        <v>14816.99</v>
      </c>
      <c r="F80" s="708"/>
    </row>
    <row r="81" spans="1:6" ht="11.25" customHeight="1">
      <c r="A81" s="357" t="s">
        <v>607</v>
      </c>
      <c r="B81" s="714"/>
      <c r="C81" s="715"/>
      <c r="D81" s="388"/>
      <c r="E81" s="716"/>
      <c r="F81" s="717"/>
    </row>
    <row r="82" spans="1:6" ht="11.25" customHeight="1">
      <c r="A82" s="392"/>
      <c r="B82" s="393"/>
      <c r="C82" s="394"/>
      <c r="D82" s="394"/>
      <c r="E82" s="394"/>
      <c r="F82" s="395"/>
    </row>
    <row r="83" spans="1:6" ht="11.25" customHeight="1">
      <c r="A83" s="365" t="s">
        <v>608</v>
      </c>
      <c r="B83" s="718">
        <f>B79</f>
        <v>2019</v>
      </c>
      <c r="C83" s="718"/>
      <c r="D83" s="389">
        <f>D79</f>
        <v>2020</v>
      </c>
      <c r="E83" s="722">
        <f>E79</f>
        <v>2021</v>
      </c>
      <c r="F83" s="718"/>
    </row>
    <row r="84" spans="1:6" ht="11.25" customHeight="1">
      <c r="A84" s="396" t="s">
        <v>609</v>
      </c>
      <c r="B84" s="707">
        <v>116867.53</v>
      </c>
      <c r="C84" s="711"/>
      <c r="D84" s="440">
        <v>112863.84</v>
      </c>
      <c r="E84" s="707">
        <v>98429.44</v>
      </c>
      <c r="F84" s="708"/>
    </row>
    <row r="85" spans="1:5" ht="11.25" customHeight="1">
      <c r="A85" s="375" t="s">
        <v>610</v>
      </c>
      <c r="B85" s="379"/>
      <c r="C85" s="377"/>
      <c r="D85" s="397"/>
      <c r="E85" s="391"/>
    </row>
    <row r="86" spans="1:6" ht="11.25" customHeight="1">
      <c r="A86" s="357" t="s">
        <v>611</v>
      </c>
      <c r="B86" s="714"/>
      <c r="C86" s="715"/>
      <c r="D86" s="388"/>
      <c r="E86" s="716"/>
      <c r="F86" s="717"/>
    </row>
    <row r="87" spans="1:6" ht="11.25" customHeight="1">
      <c r="A87" s="392"/>
      <c r="B87" s="393"/>
      <c r="C87" s="394"/>
      <c r="D87" s="394"/>
      <c r="E87" s="394"/>
      <c r="F87" s="395"/>
    </row>
    <row r="88" spans="1:6" ht="11.25" customHeight="1">
      <c r="A88" s="398" t="s">
        <v>612</v>
      </c>
      <c r="B88" s="714"/>
      <c r="C88" s="715"/>
      <c r="D88" s="388"/>
      <c r="E88" s="716"/>
      <c r="F88" s="717"/>
    </row>
    <row r="89" spans="1:6" ht="11.25" customHeight="1" thickBot="1">
      <c r="A89" s="392"/>
      <c r="B89" s="393"/>
      <c r="C89" s="394"/>
      <c r="D89" s="394"/>
      <c r="E89" s="394"/>
      <c r="F89" s="395"/>
    </row>
    <row r="90" spans="1:6" ht="19.5" customHeight="1" thickBot="1">
      <c r="A90" s="721" t="s">
        <v>413</v>
      </c>
      <c r="B90" s="721"/>
      <c r="C90" s="721"/>
      <c r="D90" s="721"/>
      <c r="E90" s="721"/>
      <c r="F90" s="721"/>
    </row>
    <row r="92" spans="1:11" ht="25.5" customHeight="1">
      <c r="A92" s="720"/>
      <c r="B92" s="720"/>
      <c r="C92" s="720"/>
      <c r="D92" s="720"/>
      <c r="E92" s="720"/>
      <c r="F92" s="720"/>
      <c r="G92" s="399"/>
      <c r="H92" s="399"/>
      <c r="I92" s="399"/>
      <c r="J92" s="399"/>
      <c r="K92" s="399"/>
    </row>
    <row r="93" spans="1:11" ht="23.25" customHeight="1">
      <c r="A93" s="720"/>
      <c r="B93" s="720"/>
      <c r="C93" s="720"/>
      <c r="D93" s="720"/>
      <c r="E93" s="720"/>
      <c r="F93" s="720"/>
      <c r="G93" s="400"/>
      <c r="H93" s="400"/>
      <c r="I93" s="400"/>
      <c r="J93" s="400"/>
      <c r="K93" s="400"/>
    </row>
  </sheetData>
  <sheetProtection/>
  <mergeCells count="146">
    <mergeCell ref="E56:F56"/>
    <mergeCell ref="B52:C52"/>
    <mergeCell ref="B53:C53"/>
    <mergeCell ref="B54:C54"/>
    <mergeCell ref="B55:C55"/>
    <mergeCell ref="B56:C56"/>
    <mergeCell ref="E52:F52"/>
    <mergeCell ref="E17:F17"/>
    <mergeCell ref="E18:F18"/>
    <mergeCell ref="E49:F49"/>
    <mergeCell ref="E50:F50"/>
    <mergeCell ref="B46:C46"/>
    <mergeCell ref="B47:C47"/>
    <mergeCell ref="B48:C48"/>
    <mergeCell ref="B49:C49"/>
    <mergeCell ref="B50:C50"/>
    <mergeCell ref="E24:F24"/>
    <mergeCell ref="E11:F11"/>
    <mergeCell ref="E12:F12"/>
    <mergeCell ref="E13:F13"/>
    <mergeCell ref="E14:F14"/>
    <mergeCell ref="E15:F15"/>
    <mergeCell ref="E16:F16"/>
    <mergeCell ref="E68:F68"/>
    <mergeCell ref="E65:F65"/>
    <mergeCell ref="B65:C65"/>
    <mergeCell ref="E59:F59"/>
    <mergeCell ref="E23:F23"/>
    <mergeCell ref="B51:C51"/>
    <mergeCell ref="E28:F28"/>
    <mergeCell ref="E53:F53"/>
    <mergeCell ref="E54:F54"/>
    <mergeCell ref="E55:F55"/>
    <mergeCell ref="E25:F25"/>
    <mergeCell ref="E26:F26"/>
    <mergeCell ref="E27:F27"/>
    <mergeCell ref="E19:F19"/>
    <mergeCell ref="E20:F20"/>
    <mergeCell ref="E21:F21"/>
    <mergeCell ref="E22:F22"/>
    <mergeCell ref="E36:F36"/>
    <mergeCell ref="E37:F37"/>
    <mergeCell ref="E38:F38"/>
    <mergeCell ref="E29:F29"/>
    <mergeCell ref="E30:F30"/>
    <mergeCell ref="E31:F31"/>
    <mergeCell ref="E32:F32"/>
    <mergeCell ref="E33:F33"/>
    <mergeCell ref="E34:F34"/>
    <mergeCell ref="E35:F35"/>
    <mergeCell ref="E51:F51"/>
    <mergeCell ref="E39:F39"/>
    <mergeCell ref="E46:F46"/>
    <mergeCell ref="E47:F47"/>
    <mergeCell ref="E48:F48"/>
    <mergeCell ref="B57:C57"/>
    <mergeCell ref="B42:C42"/>
    <mergeCell ref="B40:C40"/>
    <mergeCell ref="B41:C41"/>
    <mergeCell ref="E57:F57"/>
    <mergeCell ref="B59:C59"/>
    <mergeCell ref="B73:C73"/>
    <mergeCell ref="B61:C61"/>
    <mergeCell ref="B69:C69"/>
    <mergeCell ref="B70:C70"/>
    <mergeCell ref="B71:C71"/>
    <mergeCell ref="B68:C68"/>
    <mergeCell ref="A1:D1"/>
    <mergeCell ref="A2:D2"/>
    <mergeCell ref="A3:D3"/>
    <mergeCell ref="A4:D4"/>
    <mergeCell ref="A5:D5"/>
    <mergeCell ref="A7:D7"/>
    <mergeCell ref="E7:F7"/>
    <mergeCell ref="A8:F8"/>
    <mergeCell ref="A9:F9"/>
    <mergeCell ref="E10:F10"/>
    <mergeCell ref="E45:F45"/>
    <mergeCell ref="B10:C10"/>
    <mergeCell ref="B45:C45"/>
    <mergeCell ref="E43:F43"/>
    <mergeCell ref="B11:C11"/>
    <mergeCell ref="B12:C12"/>
    <mergeCell ref="E61:F61"/>
    <mergeCell ref="B62:F62"/>
    <mergeCell ref="B64:C64"/>
    <mergeCell ref="E64:F64"/>
    <mergeCell ref="E67:F67"/>
    <mergeCell ref="E73:F73"/>
    <mergeCell ref="B67:C67"/>
    <mergeCell ref="E71:F71"/>
    <mergeCell ref="E69:F69"/>
    <mergeCell ref="E70:F70"/>
    <mergeCell ref="E83:F83"/>
    <mergeCell ref="E74:F74"/>
    <mergeCell ref="E75:F75"/>
    <mergeCell ref="E76:F76"/>
    <mergeCell ref="B74:C74"/>
    <mergeCell ref="B75:C75"/>
    <mergeCell ref="B76:C76"/>
    <mergeCell ref="B19:C19"/>
    <mergeCell ref="A93:F93"/>
    <mergeCell ref="B86:C86"/>
    <mergeCell ref="E86:F86"/>
    <mergeCell ref="B88:C88"/>
    <mergeCell ref="E88:F88"/>
    <mergeCell ref="A90:F90"/>
    <mergeCell ref="A92:F92"/>
    <mergeCell ref="B79:C79"/>
    <mergeCell ref="E79:F79"/>
    <mergeCell ref="B25:C25"/>
    <mergeCell ref="E40:F40"/>
    <mergeCell ref="E41:F41"/>
    <mergeCell ref="E42:F42"/>
    <mergeCell ref="B13:C13"/>
    <mergeCell ref="B14:C14"/>
    <mergeCell ref="B15:C15"/>
    <mergeCell ref="B16:C16"/>
    <mergeCell ref="B17:C17"/>
    <mergeCell ref="B18:C18"/>
    <mergeCell ref="B36:C36"/>
    <mergeCell ref="B31:C31"/>
    <mergeCell ref="B32:C32"/>
    <mergeCell ref="B33:C33"/>
    <mergeCell ref="B34:C34"/>
    <mergeCell ref="B20:C20"/>
    <mergeCell ref="B21:C21"/>
    <mergeCell ref="B22:C22"/>
    <mergeCell ref="B23:C23"/>
    <mergeCell ref="B24:C24"/>
    <mergeCell ref="B26:C26"/>
    <mergeCell ref="B27:C27"/>
    <mergeCell ref="B28:C28"/>
    <mergeCell ref="B29:C29"/>
    <mergeCell ref="B30:C30"/>
    <mergeCell ref="B35:C35"/>
    <mergeCell ref="E84:F84"/>
    <mergeCell ref="E80:F80"/>
    <mergeCell ref="B43:C43"/>
    <mergeCell ref="B84:C84"/>
    <mergeCell ref="B37:C37"/>
    <mergeCell ref="B38:C38"/>
    <mergeCell ref="B39:C39"/>
    <mergeCell ref="B81:C81"/>
    <mergeCell ref="E81:F81"/>
    <mergeCell ref="B83:C83"/>
  </mergeCells>
  <printOptions/>
  <pageMargins left="0.787401575" right="0.787401575" top="0.984251969" bottom="0.984251969" header="0.492125985" footer="0.49212598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Y77"/>
  <sheetViews>
    <sheetView zoomScalePageLayoutView="0" workbookViewId="0" topLeftCell="A10">
      <selection activeCell="I19" sqref="I19"/>
    </sheetView>
  </sheetViews>
  <sheetFormatPr defaultColWidth="9.140625" defaultRowHeight="12.75"/>
  <cols>
    <col min="1" max="1" width="19.7109375" style="459" customWidth="1"/>
    <col min="2" max="2" width="14.57421875" style="459" customWidth="1"/>
    <col min="3" max="3" width="22.140625" style="459" customWidth="1"/>
    <col min="4" max="6" width="12.8515625" style="459" customWidth="1"/>
    <col min="7" max="7" width="16.140625" style="459" customWidth="1"/>
    <col min="8" max="8" width="21.8515625" style="459" customWidth="1"/>
    <col min="9" max="9" width="32.421875" style="459" customWidth="1"/>
    <col min="10" max="10" width="12.57421875" style="496" bestFit="1" customWidth="1"/>
    <col min="11" max="11" width="13.28125" style="459" bestFit="1" customWidth="1"/>
    <col min="12" max="13" width="12.57421875" style="459" bestFit="1" customWidth="1"/>
    <col min="14" max="14" width="14.57421875" style="459" bestFit="1" customWidth="1"/>
    <col min="15" max="17" width="12.57421875" style="459" bestFit="1" customWidth="1"/>
    <col min="18" max="18" width="13.57421875" style="459" bestFit="1" customWidth="1"/>
    <col min="19" max="20" width="12.57421875" style="459" bestFit="1" customWidth="1"/>
    <col min="21" max="21" width="13.57421875" style="459" bestFit="1" customWidth="1"/>
    <col min="22" max="16384" width="9.140625" style="459" customWidth="1"/>
  </cols>
  <sheetData>
    <row r="1" spans="1:6" ht="12.75">
      <c r="A1" s="754" t="str">
        <f>'[1]Parâmetros'!A7</f>
        <v>Município de :</v>
      </c>
      <c r="B1" s="755"/>
      <c r="C1" s="755"/>
      <c r="D1" s="755"/>
      <c r="E1" s="755"/>
      <c r="F1" s="756"/>
    </row>
    <row r="2" spans="1:6" ht="12.75">
      <c r="A2" s="757" t="s">
        <v>36</v>
      </c>
      <c r="B2" s="755"/>
      <c r="C2" s="755"/>
      <c r="D2" s="755"/>
      <c r="E2" s="755"/>
      <c r="F2" s="756"/>
    </row>
    <row r="3" spans="1:6" ht="12.75">
      <c r="A3" s="757" t="str">
        <f>'[1]Metas Cons'!A3:M3</f>
        <v>ANEXO DE METAS FISCAIS</v>
      </c>
      <c r="B3" s="755"/>
      <c r="C3" s="755"/>
      <c r="D3" s="755"/>
      <c r="E3" s="755"/>
      <c r="F3" s="756"/>
    </row>
    <row r="4" spans="1:6" ht="12.75">
      <c r="A4" s="758" t="s">
        <v>429</v>
      </c>
      <c r="B4" s="759"/>
      <c r="C4" s="759"/>
      <c r="D4" s="759"/>
      <c r="E4" s="759"/>
      <c r="F4" s="760"/>
    </row>
    <row r="5" spans="1:6" ht="12.75">
      <c r="A5" s="757" t="s">
        <v>639</v>
      </c>
      <c r="B5" s="755"/>
      <c r="C5" s="755"/>
      <c r="D5" s="755"/>
      <c r="E5" s="755"/>
      <c r="F5" s="756"/>
    </row>
    <row r="6" spans="1:6" ht="12.75">
      <c r="A6" s="757"/>
      <c r="B6" s="755"/>
      <c r="C6" s="755"/>
      <c r="D6" s="755"/>
      <c r="E6" s="755"/>
      <c r="F6" s="756"/>
    </row>
    <row r="7" spans="1:7" ht="12.75">
      <c r="A7" s="497" t="s">
        <v>432</v>
      </c>
      <c r="B7" s="498"/>
      <c r="C7" s="498"/>
      <c r="D7" s="498"/>
      <c r="E7" s="498"/>
      <c r="F7" s="499"/>
      <c r="G7" s="500">
        <v>1</v>
      </c>
    </row>
    <row r="8" spans="1:10" s="495" customFormat="1" ht="12.75">
      <c r="A8" s="765" t="s">
        <v>145</v>
      </c>
      <c r="B8" s="768" t="s">
        <v>146</v>
      </c>
      <c r="C8" s="749" t="s">
        <v>147</v>
      </c>
      <c r="D8" s="768" t="s">
        <v>98</v>
      </c>
      <c r="E8" s="771"/>
      <c r="F8" s="765"/>
      <c r="G8" s="749" t="s">
        <v>99</v>
      </c>
      <c r="J8" s="501"/>
    </row>
    <row r="9" spans="1:10" s="495" customFormat="1" ht="12.75">
      <c r="A9" s="766"/>
      <c r="B9" s="769"/>
      <c r="C9" s="750"/>
      <c r="D9" s="770"/>
      <c r="E9" s="772"/>
      <c r="F9" s="767"/>
      <c r="G9" s="750"/>
      <c r="J9" s="501"/>
    </row>
    <row r="10" spans="1:13" ht="12.75">
      <c r="A10" s="767"/>
      <c r="B10" s="770"/>
      <c r="C10" s="751"/>
      <c r="D10" s="502">
        <v>2023</v>
      </c>
      <c r="E10" s="502">
        <v>2024</v>
      </c>
      <c r="F10" s="502">
        <v>2025</v>
      </c>
      <c r="G10" s="751"/>
      <c r="L10" s="503"/>
      <c r="M10" s="504"/>
    </row>
    <row r="11" spans="1:20" s="508" customFormat="1" ht="25.5">
      <c r="A11" s="505" t="s">
        <v>751</v>
      </c>
      <c r="B11" s="505" t="s">
        <v>752</v>
      </c>
      <c r="C11" s="505" t="s">
        <v>753</v>
      </c>
      <c r="D11" s="506">
        <v>3800</v>
      </c>
      <c r="E11" s="507">
        <f aca="true" t="shared" si="0" ref="E11:E20">D11*(1+B$27)</f>
        <v>3952</v>
      </c>
      <c r="F11" s="507">
        <f aca="true" t="shared" si="1" ref="F11:F20">E11*(1+B$28)</f>
        <v>4110.08</v>
      </c>
      <c r="G11" s="752" t="s">
        <v>149</v>
      </c>
      <c r="J11" s="509"/>
      <c r="K11" s="510"/>
      <c r="L11" s="495"/>
      <c r="M11" s="495"/>
      <c r="N11" s="495"/>
      <c r="O11" s="495"/>
      <c r="P11" s="495"/>
      <c r="Q11" s="495"/>
      <c r="R11" s="511"/>
      <c r="S11" s="511"/>
      <c r="T11" s="511"/>
    </row>
    <row r="12" spans="1:21" s="508" customFormat="1" ht="25.5">
      <c r="A12" s="505" t="s">
        <v>751</v>
      </c>
      <c r="B12" s="505" t="s">
        <v>752</v>
      </c>
      <c r="C12" s="505" t="s">
        <v>754</v>
      </c>
      <c r="D12" s="506">
        <v>1650</v>
      </c>
      <c r="E12" s="507">
        <f t="shared" si="0"/>
        <v>1716</v>
      </c>
      <c r="F12" s="507">
        <f t="shared" si="1"/>
        <v>1784.64</v>
      </c>
      <c r="G12" s="753"/>
      <c r="J12" s="509"/>
      <c r="K12" s="512"/>
      <c r="L12" s="513"/>
      <c r="M12" s="514"/>
      <c r="N12" s="495"/>
      <c r="O12" s="495"/>
      <c r="P12" s="495"/>
      <c r="Q12" s="495"/>
      <c r="U12" s="496">
        <f>SUM(K12:T12)</f>
        <v>0</v>
      </c>
    </row>
    <row r="13" spans="1:21" ht="25.5">
      <c r="A13" s="505" t="s">
        <v>751</v>
      </c>
      <c r="B13" s="505" t="s">
        <v>752</v>
      </c>
      <c r="C13" s="505" t="s">
        <v>755</v>
      </c>
      <c r="D13" s="506">
        <v>3500</v>
      </c>
      <c r="E13" s="507">
        <f t="shared" si="0"/>
        <v>3640</v>
      </c>
      <c r="F13" s="507">
        <f t="shared" si="1"/>
        <v>3785.6</v>
      </c>
      <c r="G13" s="515" t="s">
        <v>150</v>
      </c>
      <c r="K13" s="516"/>
      <c r="L13" s="516"/>
      <c r="M13" s="516"/>
      <c r="N13" s="516"/>
      <c r="O13" s="516"/>
      <c r="P13" s="516"/>
      <c r="Q13" s="516"/>
      <c r="U13" s="496">
        <f>SUM(K13:T13)</f>
        <v>0</v>
      </c>
    </row>
    <row r="14" spans="1:21" ht="25.5">
      <c r="A14" s="505" t="s">
        <v>751</v>
      </c>
      <c r="B14" s="505" t="s">
        <v>752</v>
      </c>
      <c r="C14" s="517" t="s">
        <v>756</v>
      </c>
      <c r="D14" s="506">
        <v>27000</v>
      </c>
      <c r="E14" s="507">
        <f t="shared" si="0"/>
        <v>28080</v>
      </c>
      <c r="F14" s="507">
        <f t="shared" si="1"/>
        <v>29203.2</v>
      </c>
      <c r="G14" s="515"/>
      <c r="K14" s="496"/>
      <c r="L14" s="496"/>
      <c r="M14" s="496"/>
      <c r="N14" s="496"/>
      <c r="O14" s="496"/>
      <c r="P14" s="496"/>
      <c r="Q14" s="496"/>
      <c r="U14" s="496">
        <f>SUM(K14:T14)</f>
        <v>0</v>
      </c>
    </row>
    <row r="15" spans="1:25" ht="63.75">
      <c r="A15" s="505" t="s">
        <v>751</v>
      </c>
      <c r="B15" s="505" t="s">
        <v>752</v>
      </c>
      <c r="C15" s="505" t="s">
        <v>757</v>
      </c>
      <c r="D15" s="506">
        <v>35000</v>
      </c>
      <c r="E15" s="507">
        <f t="shared" si="0"/>
        <v>36400</v>
      </c>
      <c r="F15" s="507">
        <f t="shared" si="1"/>
        <v>37856</v>
      </c>
      <c r="G15" s="515"/>
      <c r="K15" s="518"/>
      <c r="L15" s="519"/>
      <c r="M15" s="519"/>
      <c r="N15" s="496"/>
      <c r="O15" s="496"/>
      <c r="P15" s="496"/>
      <c r="Q15" s="496"/>
      <c r="R15" s="496"/>
      <c r="S15" s="496"/>
      <c r="T15" s="496"/>
      <c r="U15" s="496">
        <f>SUM(K15:T15)</f>
        <v>0</v>
      </c>
      <c r="V15" s="496"/>
      <c r="W15" s="496"/>
      <c r="X15" s="496"/>
      <c r="Y15" s="496"/>
    </row>
    <row r="16" spans="1:13" ht="25.5">
      <c r="A16" s="505" t="s">
        <v>751</v>
      </c>
      <c r="B16" s="505" t="s">
        <v>752</v>
      </c>
      <c r="C16" s="505" t="s">
        <v>758</v>
      </c>
      <c r="D16" s="506">
        <v>28000</v>
      </c>
      <c r="E16" s="507">
        <f t="shared" si="0"/>
        <v>29120</v>
      </c>
      <c r="F16" s="507">
        <f t="shared" si="1"/>
        <v>30284.8</v>
      </c>
      <c r="G16" s="515"/>
      <c r="K16" s="520"/>
      <c r="L16" s="508"/>
      <c r="M16" s="508"/>
    </row>
    <row r="17" spans="1:21" ht="76.5">
      <c r="A17" s="505" t="s">
        <v>759</v>
      </c>
      <c r="B17" s="505" t="s">
        <v>752</v>
      </c>
      <c r="C17" s="505" t="s">
        <v>760</v>
      </c>
      <c r="D17" s="506">
        <v>5000</v>
      </c>
      <c r="E17" s="507">
        <f t="shared" si="0"/>
        <v>5200</v>
      </c>
      <c r="F17" s="507">
        <f t="shared" si="1"/>
        <v>5408</v>
      </c>
      <c r="G17" s="515"/>
      <c r="K17" s="512"/>
      <c r="L17" s="503"/>
      <c r="M17" s="504"/>
      <c r="N17" s="508"/>
      <c r="O17" s="508"/>
      <c r="P17" s="508"/>
      <c r="Q17" s="508"/>
      <c r="R17" s="508"/>
      <c r="S17" s="508"/>
      <c r="T17" s="508"/>
      <c r="U17" s="508"/>
    </row>
    <row r="18" spans="1:21" ht="25.5">
      <c r="A18" s="505" t="s">
        <v>751</v>
      </c>
      <c r="B18" s="505" t="s">
        <v>752</v>
      </c>
      <c r="C18" s="517" t="s">
        <v>761</v>
      </c>
      <c r="D18" s="506">
        <v>3400</v>
      </c>
      <c r="E18" s="507">
        <f t="shared" si="0"/>
        <v>3536</v>
      </c>
      <c r="F18" s="507">
        <f t="shared" si="1"/>
        <v>3677.44</v>
      </c>
      <c r="G18" s="515"/>
      <c r="K18" s="512"/>
      <c r="L18" s="503"/>
      <c r="M18" s="504"/>
      <c r="N18" s="508"/>
      <c r="O18" s="508"/>
      <c r="P18" s="508"/>
      <c r="Q18" s="508"/>
      <c r="R18" s="508"/>
      <c r="S18" s="508"/>
      <c r="T18" s="508"/>
      <c r="U18" s="508"/>
    </row>
    <row r="19" spans="1:19" ht="51">
      <c r="A19" s="505" t="s">
        <v>751</v>
      </c>
      <c r="B19" s="505" t="s">
        <v>762</v>
      </c>
      <c r="C19" s="505" t="s">
        <v>763</v>
      </c>
      <c r="D19" s="506">
        <v>60000</v>
      </c>
      <c r="E19" s="507">
        <f t="shared" si="0"/>
        <v>62400</v>
      </c>
      <c r="F19" s="507">
        <f t="shared" si="1"/>
        <v>64896</v>
      </c>
      <c r="G19" s="515"/>
      <c r="K19" s="516"/>
      <c r="L19" s="519"/>
      <c r="M19" s="519"/>
      <c r="N19" s="519"/>
      <c r="O19" s="519"/>
      <c r="P19" s="519"/>
      <c r="Q19" s="519"/>
      <c r="R19" s="519"/>
      <c r="S19" s="496"/>
    </row>
    <row r="20" spans="1:18" ht="12.75">
      <c r="A20" s="521"/>
      <c r="B20" s="521"/>
      <c r="C20" s="521"/>
      <c r="D20" s="522"/>
      <c r="E20" s="507">
        <f t="shared" si="0"/>
        <v>0</v>
      </c>
      <c r="F20" s="507">
        <f t="shared" si="1"/>
        <v>0</v>
      </c>
      <c r="G20" s="523"/>
      <c r="M20" s="504"/>
      <c r="R20" s="469"/>
    </row>
    <row r="21" spans="1:13" ht="12.75">
      <c r="A21" s="761" t="s">
        <v>85</v>
      </c>
      <c r="B21" s="761"/>
      <c r="C21" s="762"/>
      <c r="D21" s="524">
        <f>SUM(D11:D20)</f>
        <v>167350</v>
      </c>
      <c r="E21" s="524">
        <f>SUM(E11:E20)</f>
        <v>174044</v>
      </c>
      <c r="F21" s="524">
        <f>SUM(F11:F20)</f>
        <v>181005.76</v>
      </c>
      <c r="G21" s="525" t="s">
        <v>148</v>
      </c>
      <c r="M21" s="504"/>
    </row>
    <row r="22" spans="1:18" ht="12.75">
      <c r="A22" s="457" t="s">
        <v>764</v>
      </c>
      <c r="B22" s="526"/>
      <c r="C22" s="526"/>
      <c r="D22" s="526"/>
      <c r="E22" s="526"/>
      <c r="F22" s="526"/>
      <c r="G22" s="526"/>
      <c r="R22" s="469"/>
    </row>
    <row r="23" spans="1:6" ht="12.75">
      <c r="A23" s="459" t="s">
        <v>765</v>
      </c>
      <c r="B23" s="527"/>
      <c r="C23" s="527"/>
      <c r="D23" s="527"/>
      <c r="E23" s="527"/>
      <c r="F23" s="527"/>
    </row>
    <row r="24" ht="12.75">
      <c r="A24" s="459" t="s">
        <v>132</v>
      </c>
    </row>
    <row r="25" spans="1:18" ht="12.75">
      <c r="A25" s="459" t="s">
        <v>766</v>
      </c>
      <c r="K25" s="469"/>
      <c r="L25" s="469"/>
      <c r="M25" s="469"/>
      <c r="N25" s="469"/>
      <c r="O25" s="469"/>
      <c r="P25" s="469"/>
      <c r="Q25" s="469"/>
      <c r="R25" s="469"/>
    </row>
    <row r="26" ht="12.75">
      <c r="A26" s="459" t="s">
        <v>135</v>
      </c>
    </row>
    <row r="27" spans="1:2" ht="12.75">
      <c r="A27" s="459" t="s">
        <v>623</v>
      </c>
      <c r="B27" s="528">
        <v>0.04</v>
      </c>
    </row>
    <row r="28" spans="1:2" ht="12.75">
      <c r="A28" s="459" t="s">
        <v>648</v>
      </c>
      <c r="B28" s="528">
        <v>0.04</v>
      </c>
    </row>
    <row r="29" ht="12.75">
      <c r="B29" s="528"/>
    </row>
    <row r="75" spans="2:5" ht="12.75">
      <c r="B75" s="529"/>
      <c r="C75" s="529"/>
      <c r="D75" s="529"/>
      <c r="E75" s="529"/>
    </row>
    <row r="76" spans="2:5" ht="15" customHeight="1">
      <c r="B76" s="763" t="s">
        <v>767</v>
      </c>
      <c r="C76" s="763"/>
      <c r="D76" s="763"/>
      <c r="E76" s="763"/>
    </row>
    <row r="77" spans="2:5" ht="12.75">
      <c r="B77" s="764" t="s">
        <v>768</v>
      </c>
      <c r="C77" s="764"/>
      <c r="D77" s="764"/>
      <c r="E77" s="764"/>
    </row>
  </sheetData>
  <sheetProtection/>
  <mergeCells count="15">
    <mergeCell ref="A21:C21"/>
    <mergeCell ref="B76:E76"/>
    <mergeCell ref="B77:E77"/>
    <mergeCell ref="A8:A10"/>
    <mergeCell ref="B8:B10"/>
    <mergeCell ref="C8:C10"/>
    <mergeCell ref="D8:F9"/>
    <mergeCell ref="G8:G10"/>
    <mergeCell ref="G11:G12"/>
    <mergeCell ref="A1:F1"/>
    <mergeCell ref="A2:F2"/>
    <mergeCell ref="A3:F3"/>
    <mergeCell ref="A4:F4"/>
    <mergeCell ref="A5:F5"/>
    <mergeCell ref="A6:F6"/>
  </mergeCells>
  <printOptions/>
  <pageMargins left="0.511811024" right="0.511811024" top="0.787401575" bottom="0.787401575" header="0.31496062" footer="0.31496062"/>
  <pageSetup fitToWidth="0" fitToHeight="1"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codeName="Plan18"/>
  <dimension ref="A1:B31"/>
  <sheetViews>
    <sheetView zoomScale="90" zoomScaleNormal="90" zoomScalePageLayoutView="0" workbookViewId="0" topLeftCell="A7">
      <selection activeCell="A23" sqref="A23:B23"/>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703" t="str">
        <f>Parâmetros!A7</f>
        <v>Município de : IVOTI</v>
      </c>
      <c r="B1" s="702"/>
    </row>
    <row r="2" spans="1:2" ht="14.25">
      <c r="A2" s="700" t="s">
        <v>36</v>
      </c>
      <c r="B2" s="702"/>
    </row>
    <row r="3" spans="1:2" ht="14.25">
      <c r="A3" s="700" t="s">
        <v>144</v>
      </c>
      <c r="B3" s="702"/>
    </row>
    <row r="4" spans="1:2" ht="15">
      <c r="A4" s="704" t="s">
        <v>430</v>
      </c>
      <c r="B4" s="706"/>
    </row>
    <row r="5" spans="1:2" ht="14.25">
      <c r="A5" s="700" t="s">
        <v>639</v>
      </c>
      <c r="B5" s="702"/>
    </row>
    <row r="6" spans="1:2" ht="14.25">
      <c r="A6" s="700"/>
      <c r="B6" s="702"/>
    </row>
    <row r="7" spans="1:2" ht="15">
      <c r="A7" s="153" t="s">
        <v>431</v>
      </c>
      <c r="B7" s="154">
        <v>1</v>
      </c>
    </row>
    <row r="8" spans="1:2" s="12" customFormat="1" ht="25.5" customHeight="1">
      <c r="A8" s="149" t="s">
        <v>100</v>
      </c>
      <c r="B8" s="293" t="s">
        <v>649</v>
      </c>
    </row>
    <row r="9" spans="1:2" ht="15">
      <c r="A9" s="155" t="s">
        <v>101</v>
      </c>
      <c r="B9" s="156">
        <f>(B10+B11)</f>
        <v>2937240.2289096825</v>
      </c>
    </row>
    <row r="10" spans="1:2" ht="14.25">
      <c r="A10" s="150" t="s">
        <v>128</v>
      </c>
      <c r="B10" s="152">
        <f>(Projeções!H9/(1+Parâmetros!E11))-(Projeções!G9*(1+Parâmetros!D11))</f>
        <v>-326785.22599810734</v>
      </c>
    </row>
    <row r="11" spans="1:2" ht="14.25">
      <c r="A11" s="150" t="s">
        <v>129</v>
      </c>
      <c r="B11" s="152">
        <f>(Projeções!H39/(1+Parâmetros!E11))-(Projeções!G39*(1+Parâmetros!D11))</f>
        <v>3264025.45490779</v>
      </c>
    </row>
    <row r="12" spans="1:2" ht="14.25">
      <c r="A12" s="150" t="s">
        <v>170</v>
      </c>
      <c r="B12" s="152">
        <v>0</v>
      </c>
    </row>
    <row r="13" spans="1:2" ht="14.25">
      <c r="A13" s="151" t="s">
        <v>137</v>
      </c>
      <c r="B13" s="152">
        <f>(Projeções!H106/(1+Parâmetros!E11)-(Projeções!G106*(1+Parâmetros!D11)))</f>
        <v>343381.27479729615</v>
      </c>
    </row>
    <row r="14" spans="1:2" ht="15">
      <c r="A14" s="157" t="s">
        <v>102</v>
      </c>
      <c r="B14" s="158">
        <f>B9+B13</f>
        <v>3280621.5037069786</v>
      </c>
    </row>
    <row r="15" spans="1:2" ht="14.25">
      <c r="A15" s="151" t="s">
        <v>103</v>
      </c>
      <c r="B15" s="159">
        <v>0</v>
      </c>
    </row>
    <row r="16" spans="1:2" ht="15">
      <c r="A16" s="151" t="s">
        <v>104</v>
      </c>
      <c r="B16" s="158">
        <f>B14+B15</f>
        <v>3280621.5037069786</v>
      </c>
    </row>
    <row r="17" spans="1:2" ht="14.25">
      <c r="A17" s="150" t="s">
        <v>105</v>
      </c>
      <c r="B17" s="152"/>
    </row>
    <row r="18" spans="1:2" ht="15">
      <c r="A18" s="157" t="s">
        <v>167</v>
      </c>
      <c r="B18" s="158">
        <f>B19+B20</f>
        <v>931219.1887404248</v>
      </c>
    </row>
    <row r="19" spans="1:2" ht="14.25">
      <c r="A19" s="151" t="s">
        <v>130</v>
      </c>
      <c r="B19" s="152">
        <f>Projeções!H119/(1+Parâmetros!E11)-(Projeções!G119*(1+Parâmetros!D11))</f>
        <v>3598494.8514309973</v>
      </c>
    </row>
    <row r="20" spans="1:2" ht="14.25">
      <c r="A20" s="151" t="s">
        <v>131</v>
      </c>
      <c r="B20" s="152">
        <f>Projeções!H131/(1+Parâmetros!E11)-Projeções!G131*(1+Parâmetros!D11)</f>
        <v>-2667275.6626905724</v>
      </c>
    </row>
    <row r="21" spans="1:2" ht="15">
      <c r="A21" s="157" t="s">
        <v>168</v>
      </c>
      <c r="B21" s="160">
        <v>0</v>
      </c>
    </row>
    <row r="22" spans="1:2" ht="21" customHeight="1">
      <c r="A22" s="157" t="s">
        <v>169</v>
      </c>
      <c r="B22" s="161">
        <f>IF(B16-B17-B18&lt;0,"SEM MARGEM",B16-B17-B18)</f>
        <v>2349402.314966554</v>
      </c>
    </row>
    <row r="23" spans="1:2" ht="15">
      <c r="A23" s="773"/>
      <c r="B23" s="774"/>
    </row>
    <row r="24" ht="12.75">
      <c r="A24" s="7"/>
    </row>
    <row r="25" spans="1:2" ht="12.75">
      <c r="A25" s="52"/>
      <c r="B25" s="52"/>
    </row>
    <row r="26" ht="12.75">
      <c r="A26" s="52"/>
    </row>
    <row r="27" ht="12.75">
      <c r="A27" s="52"/>
    </row>
    <row r="28" ht="12.75">
      <c r="A28" s="52"/>
    </row>
    <row r="29" ht="12.75">
      <c r="A29" s="52"/>
    </row>
    <row r="30" ht="12.75">
      <c r="A30" s="52"/>
    </row>
    <row r="31" ht="12.75">
      <c r="A31" s="52"/>
    </row>
  </sheetData>
  <sheetProtection/>
  <mergeCells count="7">
    <mergeCell ref="A1:B1"/>
    <mergeCell ref="A2:B2"/>
    <mergeCell ref="A23:B23"/>
    <mergeCell ref="A3:B3"/>
    <mergeCell ref="A4:B4"/>
    <mergeCell ref="A5:B5"/>
    <mergeCell ref="A6:B6"/>
  </mergeCells>
  <printOptions/>
  <pageMargins left="0.787401575" right="0.787401575" top="0.984251969" bottom="0.984251969" header="0.492125985" footer="0.49212598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D25"/>
  <sheetViews>
    <sheetView zoomScalePageLayoutView="0" workbookViewId="0" topLeftCell="A10">
      <selection activeCell="L20" sqref="L20"/>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784" t="str">
        <f>Parâmetros!A7</f>
        <v>Município de : IVOTI</v>
      </c>
      <c r="B1" s="782"/>
      <c r="C1" s="782"/>
      <c r="D1" s="782"/>
    </row>
    <row r="2" spans="1:4" ht="14.25">
      <c r="A2" s="782" t="s">
        <v>36</v>
      </c>
      <c r="B2" s="782"/>
      <c r="C2" s="782"/>
      <c r="D2" s="782"/>
    </row>
    <row r="3" spans="1:4" ht="14.25">
      <c r="A3" s="782" t="s">
        <v>152</v>
      </c>
      <c r="B3" s="782"/>
      <c r="C3" s="782"/>
      <c r="D3" s="782"/>
    </row>
    <row r="4" spans="1:4" ht="15">
      <c r="A4" s="781" t="s">
        <v>106</v>
      </c>
      <c r="B4" s="781"/>
      <c r="C4" s="781"/>
      <c r="D4" s="781"/>
    </row>
    <row r="5" spans="1:4" ht="15">
      <c r="A5" s="781" t="s">
        <v>639</v>
      </c>
      <c r="B5" s="782"/>
      <c r="C5" s="782"/>
      <c r="D5" s="782"/>
    </row>
    <row r="6" spans="1:4" ht="14.25">
      <c r="A6" s="783"/>
      <c r="B6" s="783"/>
      <c r="C6" s="783"/>
      <c r="D6" s="783"/>
    </row>
    <row r="7" spans="1:4" ht="14.25">
      <c r="A7" s="775" t="s">
        <v>436</v>
      </c>
      <c r="B7" s="775"/>
      <c r="C7" s="776">
        <v>1</v>
      </c>
      <c r="D7" s="776"/>
    </row>
    <row r="8" spans="1:4" ht="15">
      <c r="A8" s="778" t="s">
        <v>153</v>
      </c>
      <c r="B8" s="778"/>
      <c r="C8" s="778" t="s">
        <v>107</v>
      </c>
      <c r="D8" s="778"/>
    </row>
    <row r="9" spans="1:4" ht="15">
      <c r="A9" s="162" t="s">
        <v>108</v>
      </c>
      <c r="B9" s="162" t="s">
        <v>57</v>
      </c>
      <c r="C9" s="162" t="s">
        <v>108</v>
      </c>
      <c r="D9" s="162" t="s">
        <v>57</v>
      </c>
    </row>
    <row r="10" spans="1:4" ht="14.25">
      <c r="A10" s="163" t="s">
        <v>681</v>
      </c>
      <c r="B10" s="449" t="s">
        <v>680</v>
      </c>
      <c r="C10" s="165"/>
      <c r="D10" s="164"/>
    </row>
    <row r="11" spans="1:4" ht="28.5">
      <c r="A11" s="163" t="s">
        <v>682</v>
      </c>
      <c r="B11" s="449" t="s">
        <v>680</v>
      </c>
      <c r="C11" s="450"/>
      <c r="D11" s="164"/>
    </row>
    <row r="12" spans="1:4" ht="38.25">
      <c r="A12" s="163" t="s">
        <v>154</v>
      </c>
      <c r="B12" s="164">
        <v>300000</v>
      </c>
      <c r="C12" s="450" t="s">
        <v>684</v>
      </c>
      <c r="D12" s="164">
        <v>300000</v>
      </c>
    </row>
    <row r="13" spans="1:4" ht="14.25">
      <c r="A13" s="163" t="s">
        <v>155</v>
      </c>
      <c r="B13" s="164"/>
      <c r="C13" s="165"/>
      <c r="D13" s="164"/>
    </row>
    <row r="14" spans="1:4" ht="14.25">
      <c r="A14" s="163" t="s">
        <v>156</v>
      </c>
      <c r="B14" s="164">
        <v>0</v>
      </c>
      <c r="C14" s="165"/>
      <c r="D14" s="164"/>
    </row>
    <row r="15" spans="1:4" ht="14.25">
      <c r="A15" s="163" t="s">
        <v>157</v>
      </c>
      <c r="B15" s="164"/>
      <c r="C15" s="165"/>
      <c r="D15" s="164"/>
    </row>
    <row r="16" spans="1:4" ht="15">
      <c r="A16" s="166" t="s">
        <v>158</v>
      </c>
      <c r="B16" s="167">
        <f>SUM(B10:B15)</f>
        <v>300000</v>
      </c>
      <c r="C16" s="168" t="s">
        <v>158</v>
      </c>
      <c r="D16" s="169">
        <f>SUM(D10:D15)</f>
        <v>300000</v>
      </c>
    </row>
    <row r="17" spans="1:4" ht="14.25">
      <c r="A17" s="779" t="s">
        <v>683</v>
      </c>
      <c r="B17" s="779"/>
      <c r="C17" s="779"/>
      <c r="D17" s="780"/>
    </row>
    <row r="18" spans="1:4" ht="15">
      <c r="A18" s="777" t="s">
        <v>159</v>
      </c>
      <c r="B18" s="777"/>
      <c r="C18" s="778" t="s">
        <v>107</v>
      </c>
      <c r="D18" s="778"/>
    </row>
    <row r="19" spans="1:4" ht="15">
      <c r="A19" s="162" t="s">
        <v>108</v>
      </c>
      <c r="B19" s="162" t="s">
        <v>57</v>
      </c>
      <c r="C19" s="162" t="s">
        <v>108</v>
      </c>
      <c r="D19" s="162" t="s">
        <v>57</v>
      </c>
    </row>
    <row r="20" spans="1:4" ht="28.5">
      <c r="A20" s="163" t="s">
        <v>160</v>
      </c>
      <c r="B20" s="453">
        <v>400000</v>
      </c>
      <c r="C20" s="454" t="s">
        <v>685</v>
      </c>
      <c r="D20" s="455">
        <v>400000</v>
      </c>
    </row>
    <row r="21" spans="1:4" ht="14.25">
      <c r="A21" s="163" t="s">
        <v>161</v>
      </c>
      <c r="B21" s="456"/>
      <c r="C21" s="454"/>
      <c r="D21" s="456"/>
    </row>
    <row r="22" spans="1:4" ht="28.5">
      <c r="A22" s="163" t="s">
        <v>162</v>
      </c>
      <c r="B22" s="455">
        <v>400000</v>
      </c>
      <c r="C22" s="454" t="s">
        <v>685</v>
      </c>
      <c r="D22" s="455">
        <v>400000</v>
      </c>
    </row>
    <row r="23" spans="1:4" ht="14.25">
      <c r="A23" s="163" t="s">
        <v>163</v>
      </c>
      <c r="B23" s="164"/>
      <c r="C23" s="165"/>
      <c r="D23" s="164"/>
    </row>
    <row r="24" spans="1:4" ht="14.25">
      <c r="A24" s="163" t="s">
        <v>158</v>
      </c>
      <c r="B24" s="170">
        <f>SUM(B20:B23)</f>
        <v>800000</v>
      </c>
      <c r="C24" s="163" t="s">
        <v>158</v>
      </c>
      <c r="D24" s="170">
        <f>SUM(D20:D23)</f>
        <v>800000</v>
      </c>
    </row>
    <row r="25" spans="1:4" ht="15">
      <c r="A25" s="168" t="s">
        <v>85</v>
      </c>
      <c r="B25" s="169">
        <f>B16+B24</f>
        <v>1100000</v>
      </c>
      <c r="C25" s="168" t="s">
        <v>85</v>
      </c>
      <c r="D25" s="169">
        <f>D16+D24</f>
        <v>1100000</v>
      </c>
    </row>
  </sheetData>
  <sheetProtection/>
  <mergeCells count="13">
    <mergeCell ref="A5:D5"/>
    <mergeCell ref="A6:D6"/>
    <mergeCell ref="A1:D1"/>
    <mergeCell ref="A2:D2"/>
    <mergeCell ref="A3:D3"/>
    <mergeCell ref="A4:D4"/>
    <mergeCell ref="A7:B7"/>
    <mergeCell ref="C7:D7"/>
    <mergeCell ref="A18:B18"/>
    <mergeCell ref="C18:D18"/>
    <mergeCell ref="A8:B8"/>
    <mergeCell ref="C8:D8"/>
    <mergeCell ref="A17:D17"/>
  </mergeCells>
  <printOptions/>
  <pageMargins left="0.787401575" right="0.787401575" top="0.984251969" bottom="0.984251969" header="0.492125985" footer="0.492125985"/>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D93"/>
  <sheetViews>
    <sheetView tabSelected="1" zoomScalePageLayoutView="0" workbookViewId="0" topLeftCell="A1">
      <selection activeCell="E23" sqref="E23"/>
    </sheetView>
  </sheetViews>
  <sheetFormatPr defaultColWidth="9.140625" defaultRowHeight="12.75"/>
  <cols>
    <col min="1" max="1" width="9.140625" style="459" customWidth="1"/>
    <col min="2" max="2" width="57.00390625" style="459" bestFit="1" customWidth="1"/>
    <col min="3" max="3" width="16.8515625" style="459" bestFit="1" customWidth="1"/>
    <col min="4" max="4" width="16.28125" style="459" bestFit="1" customWidth="1"/>
    <col min="5" max="16384" width="9.140625" style="459" customWidth="1"/>
  </cols>
  <sheetData>
    <row r="1" spans="1:3" ht="12.75">
      <c r="A1" s="785" t="s">
        <v>650</v>
      </c>
      <c r="B1" s="786"/>
      <c r="C1" s="458"/>
    </row>
    <row r="2" spans="1:3" ht="12.75">
      <c r="A2" s="787" t="s">
        <v>173</v>
      </c>
      <c r="B2" s="788"/>
      <c r="C2" s="458"/>
    </row>
    <row r="3" spans="1:3" ht="12.75">
      <c r="A3" s="460"/>
      <c r="B3" s="458"/>
      <c r="C3" s="458"/>
    </row>
    <row r="4" spans="1:3" ht="13.5" thickBot="1">
      <c r="A4" s="461"/>
      <c r="B4" s="462"/>
      <c r="C4" s="458"/>
    </row>
    <row r="5" spans="1:3" ht="12.75">
      <c r="A5" s="789" t="s">
        <v>174</v>
      </c>
      <c r="B5" s="463" t="s">
        <v>175</v>
      </c>
      <c r="C5" s="463">
        <v>2023</v>
      </c>
    </row>
    <row r="6" spans="1:3" ht="12.75">
      <c r="A6" s="790"/>
      <c r="B6" s="464"/>
      <c r="C6" s="464" t="s">
        <v>769</v>
      </c>
    </row>
    <row r="7" spans="1:3" ht="12.75">
      <c r="A7" s="790"/>
      <c r="B7" s="464" t="s">
        <v>176</v>
      </c>
      <c r="C7" s="465"/>
    </row>
    <row r="8" spans="1:3" ht="12.75">
      <c r="A8" s="466" t="s">
        <v>770</v>
      </c>
      <c r="B8" s="467" t="s">
        <v>771</v>
      </c>
      <c r="C8" s="530">
        <v>950000</v>
      </c>
    </row>
    <row r="9" spans="1:4" ht="12.75">
      <c r="A9" s="466" t="s">
        <v>770</v>
      </c>
      <c r="B9" s="468" t="s">
        <v>772</v>
      </c>
      <c r="C9" s="530">
        <v>950000</v>
      </c>
      <c r="D9" s="469"/>
    </row>
    <row r="10" spans="1:3" ht="12.75">
      <c r="A10" s="466" t="s">
        <v>770</v>
      </c>
      <c r="B10" s="468" t="s">
        <v>773</v>
      </c>
      <c r="C10" s="530">
        <v>10000</v>
      </c>
    </row>
    <row r="11" spans="1:3" ht="12.75">
      <c r="A11" s="466" t="s">
        <v>770</v>
      </c>
      <c r="B11" s="468" t="s">
        <v>774</v>
      </c>
      <c r="C11" s="530">
        <v>420000</v>
      </c>
    </row>
    <row r="12" spans="1:4" ht="12.75">
      <c r="A12" s="466" t="s">
        <v>775</v>
      </c>
      <c r="B12" s="468" t="s">
        <v>776</v>
      </c>
      <c r="C12" s="530">
        <v>10000</v>
      </c>
      <c r="D12" s="469"/>
    </row>
    <row r="13" spans="1:3" ht="12.75">
      <c r="A13" s="466" t="s">
        <v>770</v>
      </c>
      <c r="B13" s="468" t="s">
        <v>777</v>
      </c>
      <c r="C13" s="530">
        <v>2500000</v>
      </c>
    </row>
    <row r="14" spans="1:3" ht="12.75">
      <c r="A14" s="466" t="s">
        <v>775</v>
      </c>
      <c r="B14" s="468" t="s">
        <v>778</v>
      </c>
      <c r="C14" s="530">
        <v>10000</v>
      </c>
    </row>
    <row r="15" spans="1:3" ht="12.75">
      <c r="A15" s="466" t="s">
        <v>775</v>
      </c>
      <c r="B15" s="468" t="s">
        <v>779</v>
      </c>
      <c r="C15" s="530">
        <v>10000</v>
      </c>
    </row>
    <row r="16" spans="1:3" ht="12.75">
      <c r="A16" s="466" t="s">
        <v>775</v>
      </c>
      <c r="B16" s="468" t="s">
        <v>780</v>
      </c>
      <c r="C16" s="530">
        <v>100000</v>
      </c>
    </row>
    <row r="17" spans="1:3" ht="12.75">
      <c r="A17" s="466" t="s">
        <v>775</v>
      </c>
      <c r="B17" s="468" t="s">
        <v>781</v>
      </c>
      <c r="C17" s="530">
        <v>590000</v>
      </c>
    </row>
    <row r="18" spans="1:3" ht="12.75">
      <c r="A18" s="466" t="s">
        <v>775</v>
      </c>
      <c r="B18" s="468" t="s">
        <v>782</v>
      </c>
      <c r="C18" s="530">
        <v>750000</v>
      </c>
    </row>
    <row r="19" spans="1:3" ht="12.75">
      <c r="A19" s="466" t="s">
        <v>775</v>
      </c>
      <c r="B19" s="468" t="s">
        <v>783</v>
      </c>
      <c r="C19" s="530">
        <v>300000</v>
      </c>
    </row>
    <row r="20" spans="1:4" ht="12.75">
      <c r="A20" s="466" t="s">
        <v>770</v>
      </c>
      <c r="B20" s="468" t="s">
        <v>784</v>
      </c>
      <c r="C20" s="530">
        <v>10000</v>
      </c>
      <c r="D20" s="469"/>
    </row>
    <row r="21" spans="1:4" ht="12.75">
      <c r="A21" s="466" t="s">
        <v>770</v>
      </c>
      <c r="B21" s="468" t="s">
        <v>785</v>
      </c>
      <c r="C21" s="530">
        <v>825000</v>
      </c>
      <c r="D21" s="469"/>
    </row>
    <row r="22" spans="1:3" ht="12.75">
      <c r="A22" s="466" t="s">
        <v>770</v>
      </c>
      <c r="B22" s="468" t="s">
        <v>786</v>
      </c>
      <c r="C22" s="530">
        <v>500000</v>
      </c>
    </row>
    <row r="23" spans="1:3" ht="12.75">
      <c r="A23" s="466" t="s">
        <v>770</v>
      </c>
      <c r="B23" s="468" t="s">
        <v>787</v>
      </c>
      <c r="C23" s="530">
        <v>750000</v>
      </c>
    </row>
    <row r="24" spans="1:3" ht="12.75">
      <c r="A24" s="466" t="s">
        <v>770</v>
      </c>
      <c r="B24" s="468" t="s">
        <v>854</v>
      </c>
      <c r="C24" s="531">
        <v>150000</v>
      </c>
    </row>
    <row r="25" spans="1:3" ht="12.75">
      <c r="A25" s="466" t="s">
        <v>770</v>
      </c>
      <c r="B25" s="468" t="s">
        <v>788</v>
      </c>
      <c r="C25" s="531">
        <f>650000+120000</f>
        <v>770000</v>
      </c>
    </row>
    <row r="26" spans="1:3" ht="12.75">
      <c r="A26" s="466" t="s">
        <v>770</v>
      </c>
      <c r="B26" s="468" t="s">
        <v>856</v>
      </c>
      <c r="C26" s="531">
        <f>200000</f>
        <v>200000</v>
      </c>
    </row>
    <row r="27" spans="1:4" ht="12.75">
      <c r="A27" s="466" t="s">
        <v>775</v>
      </c>
      <c r="B27" s="468" t="s">
        <v>789</v>
      </c>
      <c r="C27" s="530">
        <v>1500000</v>
      </c>
      <c r="D27" s="469"/>
    </row>
    <row r="28" spans="1:4" ht="12.75">
      <c r="A28" s="466" t="s">
        <v>770</v>
      </c>
      <c r="B28" s="468" t="s">
        <v>790</v>
      </c>
      <c r="C28" s="530">
        <v>2250000</v>
      </c>
      <c r="D28" s="469"/>
    </row>
    <row r="29" spans="1:3" ht="12.75">
      <c r="A29" s="466" t="s">
        <v>770</v>
      </c>
      <c r="B29" s="468" t="s">
        <v>791</v>
      </c>
      <c r="C29" s="530">
        <v>180000</v>
      </c>
    </row>
    <row r="30" spans="1:3" ht="12.75">
      <c r="A30" s="466" t="s">
        <v>770</v>
      </c>
      <c r="B30" s="468" t="s">
        <v>792</v>
      </c>
      <c r="C30" s="530">
        <v>10000</v>
      </c>
    </row>
    <row r="31" spans="1:3" ht="12.75">
      <c r="A31" s="466" t="s">
        <v>770</v>
      </c>
      <c r="B31" s="468" t="s">
        <v>793</v>
      </c>
      <c r="C31" s="530">
        <v>550000</v>
      </c>
    </row>
    <row r="32" spans="1:3" ht="12.75">
      <c r="A32" s="466" t="s">
        <v>770</v>
      </c>
      <c r="B32" s="468" t="s">
        <v>794</v>
      </c>
      <c r="C32" s="530">
        <v>4900000</v>
      </c>
    </row>
    <row r="33" spans="1:3" ht="12.75">
      <c r="A33" s="466" t="s">
        <v>770</v>
      </c>
      <c r="B33" s="468" t="s">
        <v>795</v>
      </c>
      <c r="C33" s="530">
        <v>6600000</v>
      </c>
    </row>
    <row r="34" spans="1:3" ht="12.75">
      <c r="A34" s="466" t="s">
        <v>770</v>
      </c>
      <c r="B34" s="468" t="s">
        <v>796</v>
      </c>
      <c r="C34" s="530">
        <v>350000</v>
      </c>
    </row>
    <row r="35" spans="1:3" ht="12.75">
      <c r="A35" s="466" t="s">
        <v>770</v>
      </c>
      <c r="B35" s="468" t="s">
        <v>797</v>
      </c>
      <c r="C35" s="530">
        <v>2250000</v>
      </c>
    </row>
    <row r="36" spans="1:3" ht="12.75">
      <c r="A36" s="466" t="s">
        <v>770</v>
      </c>
      <c r="B36" s="468" t="s">
        <v>798</v>
      </c>
      <c r="C36" s="530">
        <v>700000</v>
      </c>
    </row>
    <row r="37" spans="1:3" ht="12.75">
      <c r="A37" s="466" t="s">
        <v>770</v>
      </c>
      <c r="B37" s="468" t="s">
        <v>799</v>
      </c>
      <c r="C37" s="530">
        <v>3450000</v>
      </c>
    </row>
    <row r="38" spans="1:3" ht="12.75">
      <c r="A38" s="466" t="s">
        <v>770</v>
      </c>
      <c r="B38" s="468" t="s">
        <v>800</v>
      </c>
      <c r="C38" s="530">
        <v>11000000</v>
      </c>
    </row>
    <row r="39" spans="1:3" ht="12.75">
      <c r="A39" s="470" t="s">
        <v>770</v>
      </c>
      <c r="B39" s="468" t="s">
        <v>801</v>
      </c>
      <c r="C39" s="530">
        <v>690000</v>
      </c>
    </row>
    <row r="40" spans="1:3" ht="12.75">
      <c r="A40" s="466" t="s">
        <v>770</v>
      </c>
      <c r="B40" s="468" t="s">
        <v>802</v>
      </c>
      <c r="C40" s="530">
        <v>750000</v>
      </c>
    </row>
    <row r="41" spans="1:3" ht="12.75">
      <c r="A41" s="466" t="s">
        <v>770</v>
      </c>
      <c r="B41" s="468" t="s">
        <v>803</v>
      </c>
      <c r="C41" s="530">
        <v>660000</v>
      </c>
    </row>
    <row r="42" spans="1:3" ht="12.75">
      <c r="A42" s="466" t="s">
        <v>770</v>
      </c>
      <c r="B42" s="471" t="s">
        <v>804</v>
      </c>
      <c r="C42" s="530">
        <v>340000</v>
      </c>
    </row>
    <row r="43" spans="1:3" ht="12.75">
      <c r="A43" s="466" t="s">
        <v>770</v>
      </c>
      <c r="B43" s="468" t="s">
        <v>805</v>
      </c>
      <c r="C43" s="530">
        <v>630000</v>
      </c>
    </row>
    <row r="44" spans="1:3" ht="12.75">
      <c r="A44" s="466" t="s">
        <v>770</v>
      </c>
      <c r="B44" s="468" t="s">
        <v>806</v>
      </c>
      <c r="C44" s="530">
        <v>530000</v>
      </c>
    </row>
    <row r="45" spans="1:3" ht="12.75">
      <c r="A45" s="466" t="s">
        <v>770</v>
      </c>
      <c r="B45" s="471" t="s">
        <v>807</v>
      </c>
      <c r="C45" s="530">
        <v>1300000</v>
      </c>
    </row>
    <row r="46" spans="1:3" ht="12.75">
      <c r="A46" s="466" t="s">
        <v>775</v>
      </c>
      <c r="B46" s="471" t="s">
        <v>808</v>
      </c>
      <c r="C46" s="530">
        <v>60000</v>
      </c>
    </row>
    <row r="47" spans="1:3" ht="12.75">
      <c r="A47" s="466" t="s">
        <v>775</v>
      </c>
      <c r="B47" s="471" t="s">
        <v>809</v>
      </c>
      <c r="C47" s="530">
        <v>25000</v>
      </c>
    </row>
    <row r="48" spans="1:4" ht="12.75">
      <c r="A48" s="466" t="s">
        <v>770</v>
      </c>
      <c r="B48" s="471" t="s">
        <v>810</v>
      </c>
      <c r="C48" s="530">
        <v>150000</v>
      </c>
      <c r="D48" s="469"/>
    </row>
    <row r="49" spans="1:4" ht="12.75">
      <c r="A49" s="466" t="s">
        <v>770</v>
      </c>
      <c r="B49" s="468" t="s">
        <v>811</v>
      </c>
      <c r="C49" s="530">
        <v>4600000</v>
      </c>
      <c r="D49" s="469"/>
    </row>
    <row r="50" spans="1:3" ht="12.75">
      <c r="A50" s="466" t="s">
        <v>770</v>
      </c>
      <c r="B50" s="468" t="s">
        <v>812</v>
      </c>
      <c r="C50" s="530">
        <v>1500000</v>
      </c>
    </row>
    <row r="51" spans="1:3" ht="12.75">
      <c r="A51" s="466" t="s">
        <v>770</v>
      </c>
      <c r="B51" s="468" t="s">
        <v>813</v>
      </c>
      <c r="C51" s="530">
        <v>1000000</v>
      </c>
    </row>
    <row r="52" spans="1:3" ht="12.75">
      <c r="A52" s="466" t="s">
        <v>770</v>
      </c>
      <c r="B52" s="468" t="s">
        <v>814</v>
      </c>
      <c r="C52" s="530">
        <v>1000000</v>
      </c>
    </row>
    <row r="53" spans="1:3" ht="12.75">
      <c r="A53" s="466" t="s">
        <v>770</v>
      </c>
      <c r="B53" s="468" t="s">
        <v>815</v>
      </c>
      <c r="C53" s="530">
        <v>150000</v>
      </c>
    </row>
    <row r="54" spans="1:3" ht="12.75">
      <c r="A54" s="466" t="s">
        <v>770</v>
      </c>
      <c r="B54" s="468" t="s">
        <v>816</v>
      </c>
      <c r="C54" s="530">
        <v>250000</v>
      </c>
    </row>
    <row r="55" spans="1:4" ht="12.75">
      <c r="A55" s="472" t="s">
        <v>775</v>
      </c>
      <c r="B55" s="468" t="s">
        <v>817</v>
      </c>
      <c r="C55" s="530">
        <v>100000</v>
      </c>
      <c r="D55" s="469"/>
    </row>
    <row r="56" spans="1:4" ht="12.75">
      <c r="A56" s="466" t="s">
        <v>770</v>
      </c>
      <c r="B56" s="468" t="s">
        <v>855</v>
      </c>
      <c r="C56" s="530">
        <v>810000</v>
      </c>
      <c r="D56" s="469"/>
    </row>
    <row r="57" spans="1:3" ht="12.75">
      <c r="A57" s="466" t="s">
        <v>770</v>
      </c>
      <c r="B57" s="468" t="s">
        <v>818</v>
      </c>
      <c r="C57" s="530">
        <v>35000</v>
      </c>
    </row>
    <row r="58" spans="1:3" ht="12.75">
      <c r="A58" s="466" t="s">
        <v>770</v>
      </c>
      <c r="B58" s="468" t="s">
        <v>819</v>
      </c>
      <c r="C58" s="530">
        <v>40000</v>
      </c>
    </row>
    <row r="59" spans="1:3" ht="12.75">
      <c r="A59" s="466" t="s">
        <v>770</v>
      </c>
      <c r="B59" s="468" t="s">
        <v>820</v>
      </c>
      <c r="C59" s="530">
        <v>1650000</v>
      </c>
    </row>
    <row r="60" spans="1:3" ht="12.75">
      <c r="A60" s="466" t="s">
        <v>770</v>
      </c>
      <c r="B60" s="468" t="s">
        <v>821</v>
      </c>
      <c r="C60" s="530">
        <v>30000</v>
      </c>
    </row>
    <row r="61" spans="1:3" ht="12.75">
      <c r="A61" s="466" t="s">
        <v>770</v>
      </c>
      <c r="B61" s="468" t="s">
        <v>822</v>
      </c>
      <c r="C61" s="530">
        <v>64000</v>
      </c>
    </row>
    <row r="62" spans="1:3" ht="12.75">
      <c r="A62" s="466" t="s">
        <v>770</v>
      </c>
      <c r="B62" s="468" t="s">
        <v>823</v>
      </c>
      <c r="C62" s="530">
        <v>25000</v>
      </c>
    </row>
    <row r="63" spans="1:3" ht="12.75">
      <c r="A63" s="466" t="s">
        <v>770</v>
      </c>
      <c r="B63" s="468" t="s">
        <v>824</v>
      </c>
      <c r="C63" s="530">
        <v>120000</v>
      </c>
    </row>
    <row r="64" spans="1:4" ht="12.75">
      <c r="A64" s="466" t="s">
        <v>775</v>
      </c>
      <c r="B64" s="468" t="s">
        <v>825</v>
      </c>
      <c r="C64" s="530">
        <v>1000</v>
      </c>
      <c r="D64" s="469"/>
    </row>
    <row r="65" spans="1:4" ht="12.75">
      <c r="A65" s="466" t="s">
        <v>770</v>
      </c>
      <c r="B65" s="468" t="s">
        <v>826</v>
      </c>
      <c r="C65" s="530">
        <v>820000</v>
      </c>
      <c r="D65" s="469"/>
    </row>
    <row r="66" spans="1:3" ht="12.75">
      <c r="A66" s="470" t="s">
        <v>770</v>
      </c>
      <c r="B66" s="468" t="s">
        <v>827</v>
      </c>
      <c r="C66" s="530">
        <v>450000</v>
      </c>
    </row>
    <row r="67" spans="1:3" ht="12.75">
      <c r="A67" s="466" t="s">
        <v>770</v>
      </c>
      <c r="B67" s="468" t="s">
        <v>828</v>
      </c>
      <c r="C67" s="530">
        <v>50000</v>
      </c>
    </row>
    <row r="68" spans="1:3" ht="12.75">
      <c r="A68" s="466" t="s">
        <v>829</v>
      </c>
      <c r="B68" s="468" t="s">
        <v>830</v>
      </c>
      <c r="C68" s="530">
        <v>4100000</v>
      </c>
    </row>
    <row r="69" spans="1:4" ht="12.75">
      <c r="A69" s="466" t="s">
        <v>770</v>
      </c>
      <c r="B69" s="468" t="s">
        <v>831</v>
      </c>
      <c r="C69" s="530">
        <v>8700000</v>
      </c>
      <c r="D69" s="469"/>
    </row>
    <row r="70" spans="1:3" ht="12.75">
      <c r="A70" s="466" t="s">
        <v>770</v>
      </c>
      <c r="B70" s="468" t="s">
        <v>832</v>
      </c>
      <c r="C70" s="530">
        <v>160000</v>
      </c>
    </row>
    <row r="71" spans="1:3" ht="12.75">
      <c r="A71" s="466" t="s">
        <v>770</v>
      </c>
      <c r="B71" s="468" t="s">
        <v>833</v>
      </c>
      <c r="C71" s="530">
        <v>2250000</v>
      </c>
    </row>
    <row r="72" spans="1:3" ht="12.75">
      <c r="A72" s="466" t="s">
        <v>770</v>
      </c>
      <c r="B72" s="468" t="s">
        <v>834</v>
      </c>
      <c r="C72" s="531">
        <v>150000</v>
      </c>
    </row>
    <row r="73" spans="1:3" ht="12.75">
      <c r="A73" s="466" t="s">
        <v>770</v>
      </c>
      <c r="B73" s="468" t="s">
        <v>835</v>
      </c>
      <c r="C73" s="530">
        <v>3150000</v>
      </c>
    </row>
    <row r="74" spans="1:3" ht="12.75">
      <c r="A74" s="466" t="s">
        <v>770</v>
      </c>
      <c r="B74" s="468" t="s">
        <v>836</v>
      </c>
      <c r="C74" s="530">
        <v>900000</v>
      </c>
    </row>
    <row r="75" spans="1:3" ht="12.75">
      <c r="A75" s="466" t="s">
        <v>770</v>
      </c>
      <c r="B75" s="468" t="s">
        <v>837</v>
      </c>
      <c r="C75" s="530">
        <v>113000</v>
      </c>
    </row>
    <row r="76" spans="1:3" ht="12.75">
      <c r="A76" s="466" t="s">
        <v>770</v>
      </c>
      <c r="B76" s="468" t="s">
        <v>838</v>
      </c>
      <c r="C76" s="530">
        <v>43000</v>
      </c>
    </row>
    <row r="77" spans="1:3" ht="12.75">
      <c r="A77" s="470" t="s">
        <v>770</v>
      </c>
      <c r="B77" s="468" t="s">
        <v>839</v>
      </c>
      <c r="C77" s="530">
        <v>310000</v>
      </c>
    </row>
    <row r="78" spans="1:3" ht="12.75">
      <c r="A78" s="466" t="s">
        <v>770</v>
      </c>
      <c r="B78" s="468" t="s">
        <v>840</v>
      </c>
      <c r="C78" s="530">
        <v>730000</v>
      </c>
    </row>
    <row r="79" spans="1:3" ht="12.75">
      <c r="A79" s="466" t="s">
        <v>770</v>
      </c>
      <c r="B79" s="468" t="s">
        <v>841</v>
      </c>
      <c r="C79" s="530">
        <v>35000</v>
      </c>
    </row>
    <row r="80" spans="1:3" ht="12.75">
      <c r="A80" s="466" t="s">
        <v>770</v>
      </c>
      <c r="B80" s="468" t="s">
        <v>842</v>
      </c>
      <c r="C80" s="530">
        <v>15000</v>
      </c>
    </row>
    <row r="81" spans="1:3" ht="12.75">
      <c r="A81" s="466" t="s">
        <v>775</v>
      </c>
      <c r="B81" s="468" t="s">
        <v>843</v>
      </c>
      <c r="C81" s="530">
        <v>270000</v>
      </c>
    </row>
    <row r="82" spans="1:3" ht="12.75">
      <c r="A82" s="466" t="s">
        <v>770</v>
      </c>
      <c r="B82" s="468" t="s">
        <v>844</v>
      </c>
      <c r="C82" s="530">
        <v>120000</v>
      </c>
    </row>
    <row r="83" spans="1:3" ht="12.75">
      <c r="A83" s="466" t="s">
        <v>775</v>
      </c>
      <c r="B83" s="468" t="s">
        <v>845</v>
      </c>
      <c r="C83" s="530">
        <v>1000000</v>
      </c>
    </row>
    <row r="84" spans="1:4" ht="12.75">
      <c r="A84" s="466" t="s">
        <v>770</v>
      </c>
      <c r="B84" s="468" t="s">
        <v>846</v>
      </c>
      <c r="C84" s="530">
        <v>15000</v>
      </c>
      <c r="D84" s="469"/>
    </row>
    <row r="85" spans="1:3" ht="12.75">
      <c r="A85" s="470" t="s">
        <v>770</v>
      </c>
      <c r="B85" s="468" t="s">
        <v>847</v>
      </c>
      <c r="C85" s="530">
        <v>420000</v>
      </c>
    </row>
    <row r="86" spans="1:4" ht="12.75">
      <c r="A86" s="466" t="s">
        <v>770</v>
      </c>
      <c r="B86" s="468" t="s">
        <v>848</v>
      </c>
      <c r="C86" s="530">
        <v>2060000</v>
      </c>
      <c r="D86" s="469"/>
    </row>
    <row r="87" spans="1:3" ht="12.75">
      <c r="A87" s="466" t="s">
        <v>770</v>
      </c>
      <c r="B87" s="468" t="s">
        <v>849</v>
      </c>
      <c r="C87" s="530">
        <v>5860000</v>
      </c>
    </row>
    <row r="88" spans="1:4" ht="12.75">
      <c r="A88" s="466" t="s">
        <v>770</v>
      </c>
      <c r="B88" s="468" t="s">
        <v>850</v>
      </c>
      <c r="C88" s="530">
        <v>1010000</v>
      </c>
      <c r="D88" s="469"/>
    </row>
    <row r="89" spans="1:4" ht="12.75">
      <c r="A89" s="532" t="s">
        <v>775</v>
      </c>
      <c r="B89" s="494" t="s">
        <v>851</v>
      </c>
      <c r="C89" s="530">
        <v>250000</v>
      </c>
      <c r="D89" s="469"/>
    </row>
    <row r="90" spans="1:3" ht="13.5" thickBot="1">
      <c r="A90" s="791" t="s">
        <v>852</v>
      </c>
      <c r="B90" s="792"/>
      <c r="C90" s="530">
        <f>SUM(C8:C89)</f>
        <v>93036000</v>
      </c>
    </row>
    <row r="91" spans="1:4" ht="12.75">
      <c r="A91" s="473"/>
      <c r="B91" s="473"/>
      <c r="C91" s="458"/>
      <c r="D91" s="469"/>
    </row>
    <row r="92" ht="12.75">
      <c r="A92" s="473" t="s">
        <v>853</v>
      </c>
    </row>
    <row r="93" ht="12.75">
      <c r="A93" s="473"/>
    </row>
  </sheetData>
  <sheetProtection/>
  <mergeCells count="4">
    <mergeCell ref="A1:B1"/>
    <mergeCell ref="A2:B2"/>
    <mergeCell ref="A5:A7"/>
    <mergeCell ref="A90:B90"/>
  </mergeCells>
  <printOptions/>
  <pageMargins left="0.511811024" right="0.511811024" top="0.787401575" bottom="0.787401575" header="0.31496062" footer="0.3149606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98"/>
  <sheetViews>
    <sheetView view="pageBreakPreview" zoomScaleSheetLayoutView="100" zoomScalePageLayoutView="0" workbookViewId="0" topLeftCell="A1">
      <pane xSplit="3" ySplit="9" topLeftCell="D50" activePane="bottomRight" state="frozen"/>
      <selection pane="topLeft" activeCell="A1" sqref="A1"/>
      <selection pane="topRight" activeCell="D1" sqref="D1"/>
      <selection pane="bottomLeft" activeCell="A10" sqref="A10"/>
      <selection pane="bottomRight" activeCell="A4" sqref="A4:N4"/>
    </sheetView>
  </sheetViews>
  <sheetFormatPr defaultColWidth="9.00390625" defaultRowHeight="12.75"/>
  <cols>
    <col min="1" max="1" width="9.00390625" style="458" customWidth="1"/>
    <col min="2" max="2" width="19.421875" style="458" customWidth="1"/>
    <col min="3" max="3" width="18.8515625" style="458" customWidth="1"/>
    <col min="4" max="4" width="12.140625" style="458" customWidth="1"/>
    <col min="5" max="5" width="14.140625" style="458" customWidth="1"/>
    <col min="6" max="6" width="11.140625" style="458" customWidth="1"/>
    <col min="7" max="7" width="12.28125" style="458" customWidth="1"/>
    <col min="8" max="8" width="10.7109375" style="458" customWidth="1"/>
    <col min="9" max="9" width="13.140625" style="458" customWidth="1"/>
    <col min="10" max="10" width="9.00390625" style="458" customWidth="1"/>
    <col min="11" max="11" width="7.140625" style="458" customWidth="1"/>
    <col min="12" max="12" width="0" style="458" hidden="1" customWidth="1"/>
    <col min="13" max="13" width="13.00390625" style="458" customWidth="1"/>
    <col min="14" max="14" width="12.28125" style="458" customWidth="1"/>
    <col min="15" max="15" width="13.00390625" style="458" bestFit="1" customWidth="1"/>
    <col min="16" max="16384" width="9.00390625" style="458" customWidth="1"/>
  </cols>
  <sheetData>
    <row r="1" spans="1:14" ht="12.75" customHeight="1" thickBot="1">
      <c r="A1" s="793" t="s">
        <v>177</v>
      </c>
      <c r="B1" s="793"/>
      <c r="C1" s="793"/>
      <c r="D1" s="793"/>
      <c r="E1" s="793"/>
      <c r="F1" s="793"/>
      <c r="G1" s="793"/>
      <c r="H1" s="793"/>
      <c r="I1" s="793"/>
      <c r="J1" s="793"/>
      <c r="K1" s="793"/>
      <c r="L1" s="793"/>
      <c r="M1" s="793"/>
      <c r="N1" s="793"/>
    </row>
    <row r="2" spans="1:14" ht="12.75" customHeight="1" thickBot="1">
      <c r="A2" s="793"/>
      <c r="B2" s="793"/>
      <c r="C2" s="793"/>
      <c r="D2" s="793"/>
      <c r="E2" s="793"/>
      <c r="F2" s="793"/>
      <c r="G2" s="793"/>
      <c r="H2" s="793"/>
      <c r="I2" s="793"/>
      <c r="J2" s="793"/>
      <c r="K2" s="793"/>
      <c r="L2" s="793"/>
      <c r="M2" s="793"/>
      <c r="N2" s="793"/>
    </row>
    <row r="3" spans="1:14" ht="15" customHeight="1" thickBot="1">
      <c r="A3" s="793" t="s">
        <v>651</v>
      </c>
      <c r="B3" s="793"/>
      <c r="C3" s="793"/>
      <c r="D3" s="793"/>
      <c r="E3" s="793"/>
      <c r="F3" s="793"/>
      <c r="G3" s="793"/>
      <c r="H3" s="793"/>
      <c r="I3" s="793"/>
      <c r="J3" s="793"/>
      <c r="K3" s="793"/>
      <c r="L3" s="793"/>
      <c r="M3" s="793"/>
      <c r="N3" s="793"/>
    </row>
    <row r="4" spans="1:14" ht="15" customHeight="1" thickBot="1">
      <c r="A4" s="793" t="s">
        <v>178</v>
      </c>
      <c r="B4" s="793"/>
      <c r="C4" s="793"/>
      <c r="D4" s="793"/>
      <c r="E4" s="793"/>
      <c r="F4" s="793"/>
      <c r="G4" s="793"/>
      <c r="H4" s="793"/>
      <c r="I4" s="793"/>
      <c r="J4" s="793"/>
      <c r="K4" s="793"/>
      <c r="L4" s="793"/>
      <c r="M4" s="793"/>
      <c r="N4" s="793"/>
    </row>
    <row r="5" spans="1:14" ht="15.75" customHeight="1" thickBot="1">
      <c r="A5" s="793" t="s">
        <v>179</v>
      </c>
      <c r="B5" s="793"/>
      <c r="C5" s="793"/>
      <c r="D5" s="793"/>
      <c r="E5" s="793"/>
      <c r="F5" s="793"/>
      <c r="G5" s="793"/>
      <c r="H5" s="793"/>
      <c r="I5" s="793"/>
      <c r="J5" s="793"/>
      <c r="K5" s="793"/>
      <c r="L5" s="793"/>
      <c r="M5" s="793"/>
      <c r="N5" s="793"/>
    </row>
    <row r="6" spans="1:14" ht="17.25" customHeight="1" thickBot="1">
      <c r="A6" s="794" t="s">
        <v>180</v>
      </c>
      <c r="B6" s="794"/>
      <c r="C6" s="794"/>
      <c r="D6" s="794"/>
      <c r="E6" s="794"/>
      <c r="F6" s="794"/>
      <c r="G6" s="794"/>
      <c r="H6" s="794"/>
      <c r="I6" s="794"/>
      <c r="J6" s="794"/>
      <c r="K6" s="794"/>
      <c r="L6" s="794"/>
      <c r="M6" s="794"/>
      <c r="N6" s="794"/>
    </row>
    <row r="7" spans="2:14" s="474" customFormat="1" ht="18" customHeight="1" thickBot="1">
      <c r="B7" s="795"/>
      <c r="C7" s="795"/>
      <c r="D7" s="475"/>
      <c r="E7" s="475"/>
      <c r="F7" s="796" t="s">
        <v>181</v>
      </c>
      <c r="G7" s="796"/>
      <c r="H7" s="796"/>
      <c r="I7" s="797" t="s">
        <v>688</v>
      </c>
      <c r="J7" s="797"/>
      <c r="K7" s="797"/>
      <c r="L7" s="797"/>
      <c r="M7" s="797"/>
      <c r="N7" s="797"/>
    </row>
    <row r="8" spans="2:14" ht="12.75" customHeight="1" thickBot="1">
      <c r="B8" s="798" t="s">
        <v>182</v>
      </c>
      <c r="C8" s="798"/>
      <c r="D8" s="798" t="s">
        <v>183</v>
      </c>
      <c r="E8" s="798" t="s">
        <v>184</v>
      </c>
      <c r="F8" s="799" t="s">
        <v>689</v>
      </c>
      <c r="G8" s="801" t="s">
        <v>690</v>
      </c>
      <c r="H8" s="801" t="s">
        <v>691</v>
      </c>
      <c r="I8" s="801" t="s">
        <v>185</v>
      </c>
      <c r="J8" s="801" t="s">
        <v>190</v>
      </c>
      <c r="K8" s="801"/>
      <c r="L8" s="801"/>
      <c r="M8" s="801" t="s">
        <v>186</v>
      </c>
      <c r="N8" s="803" t="s">
        <v>692</v>
      </c>
    </row>
    <row r="9" spans="2:14" ht="29.25" customHeight="1" thickBot="1">
      <c r="B9" s="798"/>
      <c r="C9" s="798"/>
      <c r="D9" s="798"/>
      <c r="E9" s="798"/>
      <c r="F9" s="800"/>
      <c r="G9" s="802"/>
      <c r="H9" s="802"/>
      <c r="I9" s="802"/>
      <c r="J9" s="802"/>
      <c r="K9" s="802"/>
      <c r="L9" s="802"/>
      <c r="M9" s="802"/>
      <c r="N9" s="804"/>
    </row>
    <row r="10" spans="1:14" ht="15.75" customHeight="1" thickBot="1">
      <c r="A10" s="805" t="s">
        <v>693</v>
      </c>
      <c r="B10" s="806" t="s">
        <v>694</v>
      </c>
      <c r="C10" s="806"/>
      <c r="D10" s="476">
        <v>44175</v>
      </c>
      <c r="E10" s="477">
        <v>62081.21</v>
      </c>
      <c r="F10" s="478">
        <v>0.2</v>
      </c>
      <c r="G10" s="478">
        <v>0.8</v>
      </c>
      <c r="H10" s="478"/>
      <c r="I10" s="477"/>
      <c r="J10" s="807"/>
      <c r="K10" s="807"/>
      <c r="L10" s="808"/>
      <c r="M10" s="479"/>
      <c r="N10" s="480"/>
    </row>
    <row r="11" spans="1:14" ht="15.75" customHeight="1" thickBot="1">
      <c r="A11" s="805"/>
      <c r="B11" s="809" t="s">
        <v>695</v>
      </c>
      <c r="C11" s="809"/>
      <c r="D11" s="481"/>
      <c r="E11" s="482">
        <v>412000</v>
      </c>
      <c r="F11" s="478"/>
      <c r="G11" s="478"/>
      <c r="H11" s="478">
        <v>1</v>
      </c>
      <c r="I11" s="482"/>
      <c r="J11" s="810"/>
      <c r="K11" s="810"/>
      <c r="L11" s="811"/>
      <c r="M11" s="485">
        <v>262000</v>
      </c>
      <c r="N11" s="486">
        <v>150000</v>
      </c>
    </row>
    <row r="12" spans="1:14" ht="15.75" customHeight="1" thickBot="1">
      <c r="A12" s="805"/>
      <c r="B12" s="809" t="s">
        <v>696</v>
      </c>
      <c r="C12" s="809"/>
      <c r="D12" s="476">
        <v>44249</v>
      </c>
      <c r="E12" s="482">
        <v>278108.97</v>
      </c>
      <c r="F12" s="478"/>
      <c r="G12" s="478">
        <v>1</v>
      </c>
      <c r="H12" s="478"/>
      <c r="I12" s="482"/>
      <c r="J12" s="810"/>
      <c r="K12" s="810"/>
      <c r="L12" s="811"/>
      <c r="M12" s="485"/>
      <c r="N12" s="486"/>
    </row>
    <row r="13" spans="1:14" ht="15.75" customHeight="1" thickBot="1">
      <c r="A13" s="805"/>
      <c r="B13" s="809" t="s">
        <v>697</v>
      </c>
      <c r="C13" s="809"/>
      <c r="D13" s="476"/>
      <c r="E13" s="482">
        <v>488000</v>
      </c>
      <c r="F13" s="478"/>
      <c r="G13" s="478">
        <v>1</v>
      </c>
      <c r="H13" s="478"/>
      <c r="I13" s="482"/>
      <c r="J13" s="810"/>
      <c r="K13" s="810"/>
      <c r="L13" s="811"/>
      <c r="M13" s="485">
        <v>250000</v>
      </c>
      <c r="N13" s="486">
        <v>238000</v>
      </c>
    </row>
    <row r="14" spans="1:14" ht="15.75" customHeight="1" thickBot="1">
      <c r="A14" s="805"/>
      <c r="B14" s="812" t="s">
        <v>698</v>
      </c>
      <c r="C14" s="809"/>
      <c r="D14" s="481"/>
      <c r="E14" s="482">
        <v>86000</v>
      </c>
      <c r="F14" s="478"/>
      <c r="G14" s="478"/>
      <c r="H14" s="478">
        <v>1</v>
      </c>
      <c r="I14" s="482"/>
      <c r="J14" s="811"/>
      <c r="K14" s="813"/>
      <c r="L14" s="814"/>
      <c r="M14" s="485">
        <v>86000</v>
      </c>
      <c r="N14" s="486"/>
    </row>
    <row r="15" spans="1:14" ht="15.75" customHeight="1" thickBot="1">
      <c r="A15" s="805"/>
      <c r="B15" s="809" t="s">
        <v>699</v>
      </c>
      <c r="C15" s="809"/>
      <c r="D15" s="481"/>
      <c r="E15" s="482">
        <v>258000</v>
      </c>
      <c r="F15" s="478"/>
      <c r="G15" s="478"/>
      <c r="H15" s="478">
        <v>1</v>
      </c>
      <c r="I15" s="482"/>
      <c r="J15" s="810"/>
      <c r="K15" s="810"/>
      <c r="L15" s="811"/>
      <c r="M15" s="485">
        <v>258000</v>
      </c>
      <c r="N15" s="486"/>
    </row>
    <row r="16" spans="1:14" ht="15.75" customHeight="1" thickBot="1">
      <c r="A16" s="805"/>
      <c r="B16" s="809" t="s">
        <v>700</v>
      </c>
      <c r="C16" s="809"/>
      <c r="D16" s="487">
        <v>44389</v>
      </c>
      <c r="E16" s="482">
        <v>335547.17</v>
      </c>
      <c r="F16" s="478"/>
      <c r="G16" s="478">
        <v>1</v>
      </c>
      <c r="H16" s="478"/>
      <c r="I16" s="482">
        <v>335547.17</v>
      </c>
      <c r="J16" s="810"/>
      <c r="K16" s="810"/>
      <c r="L16" s="811"/>
      <c r="M16" s="485"/>
      <c r="N16" s="488">
        <v>335547.17</v>
      </c>
    </row>
    <row r="17" spans="1:14" ht="15.75" customHeight="1" thickBot="1">
      <c r="A17" s="805"/>
      <c r="B17" s="809" t="s">
        <v>701</v>
      </c>
      <c r="C17" s="809"/>
      <c r="D17" s="487">
        <v>44369</v>
      </c>
      <c r="E17" s="482">
        <v>42264.07</v>
      </c>
      <c r="F17" s="478"/>
      <c r="G17" s="478">
        <v>1</v>
      </c>
      <c r="H17" s="478"/>
      <c r="I17" s="482"/>
      <c r="J17" s="810"/>
      <c r="K17" s="810"/>
      <c r="L17" s="811"/>
      <c r="M17" s="485"/>
      <c r="N17" s="486"/>
    </row>
    <row r="18" spans="1:14" ht="15.75" customHeight="1" thickBot="1">
      <c r="A18" s="805"/>
      <c r="B18" s="809" t="s">
        <v>702</v>
      </c>
      <c r="C18" s="809"/>
      <c r="D18" s="481"/>
      <c r="E18" s="482">
        <v>250000</v>
      </c>
      <c r="F18" s="478"/>
      <c r="G18" s="478"/>
      <c r="H18" s="478">
        <v>1</v>
      </c>
      <c r="I18" s="482"/>
      <c r="J18" s="810"/>
      <c r="K18" s="810"/>
      <c r="L18" s="811"/>
      <c r="M18" s="485">
        <v>250000</v>
      </c>
      <c r="N18" s="486"/>
    </row>
    <row r="19" spans="1:14" ht="15.75" customHeight="1" thickBot="1">
      <c r="A19" s="805"/>
      <c r="B19" s="809" t="s">
        <v>703</v>
      </c>
      <c r="C19" s="809"/>
      <c r="D19" s="481"/>
      <c r="E19" s="482">
        <v>100000</v>
      </c>
      <c r="F19" s="478"/>
      <c r="G19" s="478">
        <v>1</v>
      </c>
      <c r="H19" s="478"/>
      <c r="I19" s="482">
        <v>100000</v>
      </c>
      <c r="J19" s="810"/>
      <c r="K19" s="810"/>
      <c r="L19" s="811"/>
      <c r="M19" s="485"/>
      <c r="N19" s="486"/>
    </row>
    <row r="20" spans="1:14" ht="15.75" customHeight="1" thickBot="1">
      <c r="A20" s="805"/>
      <c r="B20" s="809" t="s">
        <v>704</v>
      </c>
      <c r="C20" s="809"/>
      <c r="D20" s="481"/>
      <c r="E20" s="482">
        <v>500000</v>
      </c>
      <c r="F20" s="478"/>
      <c r="G20" s="478"/>
      <c r="H20" s="478">
        <v>1</v>
      </c>
      <c r="I20" s="482"/>
      <c r="J20" s="810"/>
      <c r="K20" s="810"/>
      <c r="L20" s="811"/>
      <c r="M20" s="485"/>
      <c r="N20" s="486">
        <v>500000</v>
      </c>
    </row>
    <row r="21" spans="1:14" ht="15.75" customHeight="1" thickBot="1">
      <c r="A21" s="805"/>
      <c r="B21" s="809" t="s">
        <v>705</v>
      </c>
      <c r="C21" s="809"/>
      <c r="D21" s="481"/>
      <c r="E21" s="482">
        <v>54000</v>
      </c>
      <c r="F21" s="478"/>
      <c r="G21" s="478"/>
      <c r="H21" s="478">
        <v>1</v>
      </c>
      <c r="I21" s="482"/>
      <c r="J21" s="810"/>
      <c r="K21" s="810"/>
      <c r="L21" s="811"/>
      <c r="M21" s="485">
        <v>54000</v>
      </c>
      <c r="N21" s="486"/>
    </row>
    <row r="22" spans="1:14" ht="15.75" customHeight="1" thickBot="1">
      <c r="A22" s="805"/>
      <c r="B22" s="809" t="s">
        <v>706</v>
      </c>
      <c r="C22" s="809"/>
      <c r="D22" s="481"/>
      <c r="E22" s="482">
        <v>100000</v>
      </c>
      <c r="F22" s="478"/>
      <c r="G22" s="478">
        <v>1</v>
      </c>
      <c r="H22" s="478"/>
      <c r="I22" s="482">
        <v>100000</v>
      </c>
      <c r="J22" s="810"/>
      <c r="K22" s="810"/>
      <c r="L22" s="811"/>
      <c r="M22" s="485"/>
      <c r="N22" s="486"/>
    </row>
    <row r="23" spans="1:14" ht="15.75" customHeight="1" thickBot="1">
      <c r="A23" s="805"/>
      <c r="B23" s="809" t="s">
        <v>707</v>
      </c>
      <c r="C23" s="809"/>
      <c r="D23" s="481"/>
      <c r="E23" s="482">
        <v>1500000</v>
      </c>
      <c r="F23" s="478"/>
      <c r="G23" s="478"/>
      <c r="H23" s="478">
        <v>1</v>
      </c>
      <c r="I23" s="482"/>
      <c r="J23" s="810"/>
      <c r="K23" s="810"/>
      <c r="L23" s="811"/>
      <c r="M23" s="485">
        <v>1500000</v>
      </c>
      <c r="N23" s="486"/>
    </row>
    <row r="24" spans="1:14" ht="15.75" customHeight="1" thickBot="1">
      <c r="A24" s="805"/>
      <c r="B24" s="815" t="s">
        <v>708</v>
      </c>
      <c r="C24" s="816"/>
      <c r="D24" s="481"/>
      <c r="E24" s="482">
        <v>25000</v>
      </c>
      <c r="F24" s="478"/>
      <c r="G24" s="478"/>
      <c r="H24" s="478">
        <v>1</v>
      </c>
      <c r="I24" s="482"/>
      <c r="J24" s="808"/>
      <c r="K24" s="817"/>
      <c r="L24" s="484"/>
      <c r="M24" s="485">
        <v>25000</v>
      </c>
      <c r="N24" s="486"/>
    </row>
    <row r="25" spans="1:14" ht="15.75" customHeight="1" thickBot="1">
      <c r="A25" s="805"/>
      <c r="B25" s="809" t="s">
        <v>709</v>
      </c>
      <c r="C25" s="809"/>
      <c r="D25" s="481"/>
      <c r="E25" s="482">
        <v>100000</v>
      </c>
      <c r="F25" s="478"/>
      <c r="G25" s="478"/>
      <c r="H25" s="478">
        <v>1</v>
      </c>
      <c r="I25" s="482"/>
      <c r="J25" s="810"/>
      <c r="K25" s="810"/>
      <c r="L25" s="811"/>
      <c r="M25" s="485"/>
      <c r="N25" s="486"/>
    </row>
    <row r="26" spans="1:14" ht="15.75" customHeight="1" thickBot="1">
      <c r="A26" s="805"/>
      <c r="B26" s="809" t="s">
        <v>710</v>
      </c>
      <c r="C26" s="809"/>
      <c r="D26" s="481"/>
      <c r="E26" s="482">
        <v>63000</v>
      </c>
      <c r="F26" s="478"/>
      <c r="G26" s="478"/>
      <c r="H26" s="478">
        <v>1</v>
      </c>
      <c r="I26" s="482"/>
      <c r="J26" s="810"/>
      <c r="K26" s="810"/>
      <c r="L26" s="811"/>
      <c r="M26" s="485">
        <v>63000</v>
      </c>
      <c r="N26" s="486"/>
    </row>
    <row r="27" spans="1:14" ht="15.75" customHeight="1" thickBot="1">
      <c r="A27" s="805"/>
      <c r="B27" s="815" t="s">
        <v>711</v>
      </c>
      <c r="C27" s="816"/>
      <c r="D27" s="481"/>
      <c r="E27" s="482">
        <v>100000</v>
      </c>
      <c r="F27" s="478"/>
      <c r="G27" s="478"/>
      <c r="H27" s="478">
        <v>1</v>
      </c>
      <c r="I27" s="482"/>
      <c r="J27" s="808"/>
      <c r="K27" s="817"/>
      <c r="L27" s="484"/>
      <c r="M27" s="485"/>
      <c r="N27" s="486"/>
    </row>
    <row r="28" spans="1:14" ht="15.75" customHeight="1" thickBot="1">
      <c r="A28" s="805"/>
      <c r="B28" s="815" t="s">
        <v>712</v>
      </c>
      <c r="C28" s="816"/>
      <c r="D28" s="481"/>
      <c r="E28" s="482">
        <v>185000</v>
      </c>
      <c r="F28" s="478"/>
      <c r="G28" s="478">
        <v>1</v>
      </c>
      <c r="H28" s="478"/>
      <c r="I28" s="482">
        <v>185000</v>
      </c>
      <c r="J28" s="808"/>
      <c r="K28" s="817"/>
      <c r="L28" s="484"/>
      <c r="M28" s="485"/>
      <c r="N28" s="486"/>
    </row>
    <row r="29" spans="1:14" ht="15.75" customHeight="1" thickBot="1">
      <c r="A29" s="805"/>
      <c r="B29" s="818"/>
      <c r="C29" s="819"/>
      <c r="D29" s="481"/>
      <c r="E29" s="482"/>
      <c r="F29" s="478"/>
      <c r="G29" s="478"/>
      <c r="H29" s="478"/>
      <c r="I29" s="482"/>
      <c r="J29" s="808"/>
      <c r="K29" s="817"/>
      <c r="L29" s="484"/>
      <c r="M29" s="485"/>
      <c r="N29" s="486"/>
    </row>
    <row r="30" spans="1:14" ht="15.75" customHeight="1" thickBot="1">
      <c r="A30" s="805"/>
      <c r="B30" s="818"/>
      <c r="C30" s="819"/>
      <c r="D30" s="481"/>
      <c r="E30" s="482"/>
      <c r="F30" s="478"/>
      <c r="G30" s="478"/>
      <c r="H30" s="478"/>
      <c r="I30" s="482"/>
      <c r="J30" s="808"/>
      <c r="K30" s="817"/>
      <c r="L30" s="484"/>
      <c r="M30" s="485"/>
      <c r="N30" s="486"/>
    </row>
    <row r="31" spans="1:14" ht="15.75" customHeight="1" thickBot="1">
      <c r="A31" s="805"/>
      <c r="B31" s="818"/>
      <c r="C31" s="819"/>
      <c r="D31" s="481"/>
      <c r="E31" s="482"/>
      <c r="F31" s="478"/>
      <c r="G31" s="478"/>
      <c r="H31" s="478"/>
      <c r="I31" s="482"/>
      <c r="J31" s="808"/>
      <c r="K31" s="817"/>
      <c r="L31" s="484"/>
      <c r="M31" s="485"/>
      <c r="N31" s="486"/>
    </row>
    <row r="32" spans="1:14" ht="15.75" customHeight="1" thickBot="1">
      <c r="A32" s="805"/>
      <c r="B32" s="818"/>
      <c r="C32" s="819"/>
      <c r="D32" s="481"/>
      <c r="E32" s="482"/>
      <c r="F32" s="478"/>
      <c r="G32" s="478"/>
      <c r="H32" s="478"/>
      <c r="I32" s="482"/>
      <c r="J32" s="808"/>
      <c r="K32" s="817"/>
      <c r="L32" s="484"/>
      <c r="M32" s="485"/>
      <c r="N32" s="486"/>
    </row>
    <row r="33" spans="1:14" ht="15.75" customHeight="1" thickBot="1">
      <c r="A33" s="805"/>
      <c r="B33" s="809"/>
      <c r="C33" s="809"/>
      <c r="D33" s="481"/>
      <c r="E33" s="482"/>
      <c r="F33" s="478"/>
      <c r="G33" s="478"/>
      <c r="H33" s="478"/>
      <c r="I33" s="482"/>
      <c r="J33" s="810"/>
      <c r="K33" s="810"/>
      <c r="L33" s="811"/>
      <c r="M33" s="485"/>
      <c r="N33" s="486"/>
    </row>
    <row r="34" spans="1:14" ht="15.75" customHeight="1" thickBot="1">
      <c r="A34" s="805" t="s">
        <v>713</v>
      </c>
      <c r="B34" s="809" t="s">
        <v>714</v>
      </c>
      <c r="C34" s="809"/>
      <c r="D34" s="481"/>
      <c r="E34" s="482">
        <v>120000</v>
      </c>
      <c r="F34" s="478"/>
      <c r="G34" s="478"/>
      <c r="H34" s="478">
        <v>1</v>
      </c>
      <c r="I34" s="482"/>
      <c r="J34" s="810"/>
      <c r="K34" s="810"/>
      <c r="L34" s="811"/>
      <c r="M34" s="485">
        <v>120000</v>
      </c>
      <c r="N34" s="486"/>
    </row>
    <row r="35" spans="1:14" ht="15.75" customHeight="1" thickBot="1">
      <c r="A35" s="805"/>
      <c r="B35" s="809" t="s">
        <v>715</v>
      </c>
      <c r="C35" s="809"/>
      <c r="D35" s="481"/>
      <c r="E35" s="482">
        <v>368000</v>
      </c>
      <c r="F35" s="478"/>
      <c r="G35" s="478">
        <v>1</v>
      </c>
      <c r="H35" s="478"/>
      <c r="I35" s="482">
        <v>368000</v>
      </c>
      <c r="J35" s="810"/>
      <c r="K35" s="810"/>
      <c r="L35" s="811"/>
      <c r="M35" s="485"/>
      <c r="N35" s="486"/>
    </row>
    <row r="36" spans="1:14" ht="16.5" customHeight="1" thickBot="1">
      <c r="A36" s="805"/>
      <c r="B36" s="809" t="s">
        <v>716</v>
      </c>
      <c r="C36" s="809"/>
      <c r="D36" s="487">
        <v>44097</v>
      </c>
      <c r="E36" s="482">
        <v>77000</v>
      </c>
      <c r="F36" s="478">
        <v>1</v>
      </c>
      <c r="G36" s="478"/>
      <c r="H36" s="478"/>
      <c r="I36" s="482"/>
      <c r="J36" s="810"/>
      <c r="K36" s="810"/>
      <c r="L36" s="811"/>
      <c r="M36" s="485"/>
      <c r="N36" s="486"/>
    </row>
    <row r="37" spans="1:14" ht="39" customHeight="1" thickBot="1">
      <c r="A37" s="805"/>
      <c r="B37" s="809" t="s">
        <v>717</v>
      </c>
      <c r="C37" s="809"/>
      <c r="D37" s="487">
        <v>44413</v>
      </c>
      <c r="E37" s="482">
        <v>457000</v>
      </c>
      <c r="F37" s="478"/>
      <c r="G37" s="478">
        <v>1</v>
      </c>
      <c r="H37" s="478"/>
      <c r="I37" s="482">
        <v>457000</v>
      </c>
      <c r="J37" s="810"/>
      <c r="K37" s="810"/>
      <c r="L37" s="811"/>
      <c r="M37" s="485"/>
      <c r="N37" s="486"/>
    </row>
    <row r="38" spans="1:14" ht="27" customHeight="1" thickBot="1">
      <c r="A38" s="805"/>
      <c r="B38" s="809" t="s">
        <v>718</v>
      </c>
      <c r="C38" s="809"/>
      <c r="D38" s="487">
        <v>44112</v>
      </c>
      <c r="E38" s="482">
        <v>170964.57</v>
      </c>
      <c r="F38" s="478">
        <v>1</v>
      </c>
      <c r="G38" s="478"/>
      <c r="H38" s="478"/>
      <c r="I38" s="482"/>
      <c r="J38" s="810"/>
      <c r="K38" s="810"/>
      <c r="L38" s="811"/>
      <c r="M38" s="485"/>
      <c r="N38" s="486"/>
    </row>
    <row r="39" spans="1:14" ht="15.75" customHeight="1" thickBot="1">
      <c r="A39" s="805"/>
      <c r="B39" s="809" t="s">
        <v>719</v>
      </c>
      <c r="C39" s="809"/>
      <c r="D39" s="481"/>
      <c r="E39" s="482">
        <v>1020000</v>
      </c>
      <c r="F39" s="478"/>
      <c r="G39" s="478"/>
      <c r="H39" s="478">
        <v>1</v>
      </c>
      <c r="I39" s="482"/>
      <c r="J39" s="810"/>
      <c r="K39" s="810"/>
      <c r="L39" s="811"/>
      <c r="M39" s="485">
        <f>E39</f>
        <v>1020000</v>
      </c>
      <c r="N39" s="486"/>
    </row>
    <row r="40" spans="1:14" ht="15.75" customHeight="1" thickBot="1">
      <c r="A40" s="805"/>
      <c r="B40" s="809" t="s">
        <v>720</v>
      </c>
      <c r="C40" s="809"/>
      <c r="D40" s="481"/>
      <c r="E40" s="482">
        <v>123000</v>
      </c>
      <c r="F40" s="478"/>
      <c r="G40" s="478"/>
      <c r="H40" s="478">
        <v>1</v>
      </c>
      <c r="I40" s="482"/>
      <c r="J40" s="810"/>
      <c r="K40" s="810"/>
      <c r="L40" s="811"/>
      <c r="M40" s="485">
        <v>73000</v>
      </c>
      <c r="N40" s="486">
        <v>50000</v>
      </c>
    </row>
    <row r="41" spans="1:14" ht="15.75" customHeight="1" thickBot="1">
      <c r="A41" s="805"/>
      <c r="B41" s="809"/>
      <c r="C41" s="809"/>
      <c r="D41" s="481"/>
      <c r="E41" s="482"/>
      <c r="F41" s="478"/>
      <c r="G41" s="478"/>
      <c r="H41" s="478"/>
      <c r="I41" s="482"/>
      <c r="J41" s="810"/>
      <c r="K41" s="810"/>
      <c r="L41" s="811"/>
      <c r="M41" s="485"/>
      <c r="N41" s="486"/>
    </row>
    <row r="42" spans="1:14" ht="15.75" customHeight="1" thickBot="1">
      <c r="A42" s="805"/>
      <c r="B42" s="809"/>
      <c r="C42" s="809"/>
      <c r="D42" s="481"/>
      <c r="E42" s="482"/>
      <c r="F42" s="478"/>
      <c r="G42" s="478"/>
      <c r="H42" s="478"/>
      <c r="I42" s="482"/>
      <c r="J42" s="810"/>
      <c r="K42" s="810"/>
      <c r="L42" s="811"/>
      <c r="M42" s="485"/>
      <c r="N42" s="486"/>
    </row>
    <row r="43" spans="1:14" ht="15.75" customHeight="1" thickBot="1">
      <c r="A43" s="805" t="s">
        <v>721</v>
      </c>
      <c r="B43" s="809" t="s">
        <v>722</v>
      </c>
      <c r="C43" s="809"/>
      <c r="D43" s="481"/>
      <c r="E43" s="482">
        <v>350000</v>
      </c>
      <c r="F43" s="478"/>
      <c r="G43" s="478"/>
      <c r="H43" s="478">
        <v>1</v>
      </c>
      <c r="I43" s="482"/>
      <c r="J43" s="810"/>
      <c r="K43" s="810"/>
      <c r="L43" s="811"/>
      <c r="M43" s="485">
        <v>350000</v>
      </c>
      <c r="N43" s="486"/>
    </row>
    <row r="44" spans="1:14" ht="15.75" customHeight="1" thickBot="1">
      <c r="A44" s="805"/>
      <c r="B44" s="809" t="s">
        <v>723</v>
      </c>
      <c r="C44" s="809"/>
      <c r="D44" s="481"/>
      <c r="E44" s="482">
        <v>100000</v>
      </c>
      <c r="F44" s="478"/>
      <c r="G44" s="478">
        <v>0.5</v>
      </c>
      <c r="H44" s="478">
        <v>0.5</v>
      </c>
      <c r="I44" s="482"/>
      <c r="J44" s="810"/>
      <c r="K44" s="810"/>
      <c r="L44" s="811"/>
      <c r="M44" s="485">
        <v>100000</v>
      </c>
      <c r="N44" s="486"/>
    </row>
    <row r="45" spans="1:14" ht="16.5" customHeight="1" thickBot="1">
      <c r="A45" s="805"/>
      <c r="B45" s="809"/>
      <c r="C45" s="809"/>
      <c r="D45" s="481"/>
      <c r="E45" s="482"/>
      <c r="F45" s="478"/>
      <c r="G45" s="478"/>
      <c r="H45" s="478"/>
      <c r="I45" s="482"/>
      <c r="J45" s="810"/>
      <c r="K45" s="810"/>
      <c r="L45" s="811"/>
      <c r="M45" s="485"/>
      <c r="N45" s="486"/>
    </row>
    <row r="46" spans="1:14" ht="15.75" customHeight="1" thickBot="1">
      <c r="A46" s="805"/>
      <c r="B46" s="809"/>
      <c r="C46" s="809"/>
      <c r="D46" s="481"/>
      <c r="E46" s="482"/>
      <c r="F46" s="478"/>
      <c r="G46" s="478"/>
      <c r="H46" s="478"/>
      <c r="I46" s="482"/>
      <c r="J46" s="810"/>
      <c r="K46" s="810"/>
      <c r="L46" s="811"/>
      <c r="M46" s="485"/>
      <c r="N46" s="486"/>
    </row>
    <row r="47" spans="1:14" ht="15.75" customHeight="1" thickBot="1">
      <c r="A47" s="805"/>
      <c r="B47" s="809"/>
      <c r="C47" s="809"/>
      <c r="D47" s="481"/>
      <c r="E47" s="482"/>
      <c r="F47" s="478"/>
      <c r="G47" s="478"/>
      <c r="H47" s="478"/>
      <c r="I47" s="482"/>
      <c r="J47" s="810"/>
      <c r="K47" s="810"/>
      <c r="L47" s="811"/>
      <c r="M47" s="485"/>
      <c r="N47" s="486"/>
    </row>
    <row r="48" spans="1:14" ht="15.75" customHeight="1" thickBot="1">
      <c r="A48" s="805"/>
      <c r="B48" s="809"/>
      <c r="C48" s="809"/>
      <c r="D48" s="481"/>
      <c r="E48" s="482"/>
      <c r="F48" s="478"/>
      <c r="G48" s="478"/>
      <c r="H48" s="478"/>
      <c r="I48" s="482"/>
      <c r="J48" s="810"/>
      <c r="K48" s="810"/>
      <c r="L48" s="811"/>
      <c r="M48" s="485"/>
      <c r="N48" s="486"/>
    </row>
    <row r="49" spans="1:14" ht="15.75" customHeight="1" thickBot="1">
      <c r="A49" s="805"/>
      <c r="B49" s="809"/>
      <c r="C49" s="809"/>
      <c r="D49" s="481"/>
      <c r="E49" s="482"/>
      <c r="F49" s="478"/>
      <c r="G49" s="478"/>
      <c r="H49" s="478"/>
      <c r="I49" s="482"/>
      <c r="J49" s="810"/>
      <c r="K49" s="810"/>
      <c r="L49" s="811"/>
      <c r="M49" s="485"/>
      <c r="N49" s="486"/>
    </row>
    <row r="50" spans="1:14" ht="15.75" customHeight="1" thickBot="1">
      <c r="A50" s="805" t="s">
        <v>724</v>
      </c>
      <c r="B50" s="809" t="s">
        <v>725</v>
      </c>
      <c r="C50" s="809"/>
      <c r="D50" s="481"/>
      <c r="E50" s="482">
        <v>1500000</v>
      </c>
      <c r="F50" s="478"/>
      <c r="G50" s="478"/>
      <c r="H50" s="478">
        <v>1</v>
      </c>
      <c r="I50" s="482"/>
      <c r="J50" s="810"/>
      <c r="K50" s="810"/>
      <c r="L50" s="811"/>
      <c r="M50" s="485">
        <v>1500000</v>
      </c>
      <c r="N50" s="486"/>
    </row>
    <row r="51" spans="1:14" ht="15.75" customHeight="1" thickBot="1">
      <c r="A51" s="805"/>
      <c r="B51" s="809" t="s">
        <v>726</v>
      </c>
      <c r="C51" s="809"/>
      <c r="D51" s="487">
        <v>43997</v>
      </c>
      <c r="E51" s="482">
        <v>71966.88</v>
      </c>
      <c r="F51" s="478">
        <v>1</v>
      </c>
      <c r="G51" s="478"/>
      <c r="H51" s="478"/>
      <c r="I51" s="482"/>
      <c r="J51" s="810"/>
      <c r="K51" s="810"/>
      <c r="L51" s="811"/>
      <c r="M51" s="485"/>
      <c r="N51" s="486"/>
    </row>
    <row r="52" spans="1:14" ht="15.75" customHeight="1" thickBot="1">
      <c r="A52" s="805"/>
      <c r="B52" s="815" t="s">
        <v>727</v>
      </c>
      <c r="C52" s="816"/>
      <c r="D52" s="487">
        <v>44172</v>
      </c>
      <c r="E52" s="482">
        <v>214798.56</v>
      </c>
      <c r="F52" s="478">
        <v>0.2</v>
      </c>
      <c r="G52" s="478">
        <v>0.8</v>
      </c>
      <c r="H52" s="478"/>
      <c r="I52" s="482"/>
      <c r="J52" s="811"/>
      <c r="K52" s="820"/>
      <c r="L52" s="484"/>
      <c r="M52" s="485"/>
      <c r="N52" s="486">
        <v>214798.56</v>
      </c>
    </row>
    <row r="53" spans="1:14" ht="15.75" customHeight="1" thickBot="1">
      <c r="A53" s="805"/>
      <c r="B53" s="815" t="s">
        <v>728</v>
      </c>
      <c r="C53" s="816"/>
      <c r="D53" s="487">
        <v>44299</v>
      </c>
      <c r="E53" s="482">
        <v>386214.07</v>
      </c>
      <c r="F53" s="478"/>
      <c r="G53" s="478">
        <v>1</v>
      </c>
      <c r="H53" s="478"/>
      <c r="I53" s="482"/>
      <c r="J53" s="808"/>
      <c r="K53" s="817"/>
      <c r="L53" s="484"/>
      <c r="M53" s="485"/>
      <c r="N53" s="486"/>
    </row>
    <row r="54" spans="1:14" ht="15.75" customHeight="1" thickBot="1">
      <c r="A54" s="805"/>
      <c r="B54" s="809" t="s">
        <v>729</v>
      </c>
      <c r="C54" s="809"/>
      <c r="D54" s="481"/>
      <c r="E54" s="482">
        <v>251780.17</v>
      </c>
      <c r="F54" s="478"/>
      <c r="G54" s="478">
        <v>1</v>
      </c>
      <c r="H54" s="478"/>
      <c r="I54" s="482"/>
      <c r="J54" s="810"/>
      <c r="K54" s="810"/>
      <c r="L54" s="811"/>
      <c r="M54" s="485">
        <v>13030.17</v>
      </c>
      <c r="N54" s="486">
        <v>238750</v>
      </c>
    </row>
    <row r="55" spans="1:14" ht="15.75" customHeight="1" thickBot="1">
      <c r="A55" s="805"/>
      <c r="B55" s="809" t="s">
        <v>730</v>
      </c>
      <c r="C55" s="809"/>
      <c r="D55" s="481"/>
      <c r="E55" s="482">
        <v>270000</v>
      </c>
      <c r="F55" s="478"/>
      <c r="G55" s="478">
        <v>1</v>
      </c>
      <c r="H55" s="478"/>
      <c r="I55" s="482"/>
      <c r="J55" s="810"/>
      <c r="K55" s="810"/>
      <c r="L55" s="811"/>
      <c r="M55" s="485">
        <v>31250</v>
      </c>
      <c r="N55" s="486">
        <v>238750</v>
      </c>
    </row>
    <row r="56" spans="1:14" ht="15.75" customHeight="1" thickBot="1">
      <c r="A56" s="805"/>
      <c r="B56" s="809" t="s">
        <v>731</v>
      </c>
      <c r="C56" s="809"/>
      <c r="D56" s="481"/>
      <c r="E56" s="482">
        <v>238750</v>
      </c>
      <c r="F56" s="478"/>
      <c r="G56" s="478"/>
      <c r="H56" s="478">
        <v>1</v>
      </c>
      <c r="I56" s="482"/>
      <c r="J56" s="810"/>
      <c r="K56" s="810"/>
      <c r="L56" s="811"/>
      <c r="M56" s="485"/>
      <c r="N56" s="486">
        <v>238750</v>
      </c>
    </row>
    <row r="57" spans="1:14" ht="15.75" customHeight="1" thickBot="1">
      <c r="A57" s="805"/>
      <c r="B57" s="809" t="s">
        <v>732</v>
      </c>
      <c r="C57" s="809"/>
      <c r="D57" s="481"/>
      <c r="E57" s="482">
        <v>4500000</v>
      </c>
      <c r="F57" s="478"/>
      <c r="G57" s="478">
        <v>1</v>
      </c>
      <c r="H57" s="478"/>
      <c r="I57" s="485">
        <f>E57</f>
        <v>4500000</v>
      </c>
      <c r="J57" s="810"/>
      <c r="K57" s="810"/>
      <c r="L57" s="811"/>
      <c r="M57" s="485"/>
      <c r="N57" s="486"/>
    </row>
    <row r="58" spans="1:14" ht="15.75" customHeight="1" thickBot="1">
      <c r="A58" s="805"/>
      <c r="B58" s="809" t="s">
        <v>733</v>
      </c>
      <c r="C58" s="809"/>
      <c r="D58" s="487">
        <v>44389</v>
      </c>
      <c r="E58" s="482">
        <v>500000.18</v>
      </c>
      <c r="F58" s="478"/>
      <c r="G58" s="478">
        <v>1</v>
      </c>
      <c r="H58" s="478"/>
      <c r="I58" s="482">
        <f>E58</f>
        <v>500000.18</v>
      </c>
      <c r="J58" s="810"/>
      <c r="K58" s="810"/>
      <c r="L58" s="811"/>
      <c r="M58" s="485"/>
      <c r="N58" s="486"/>
    </row>
    <row r="59" spans="1:14" ht="15.75" customHeight="1" thickBot="1">
      <c r="A59" s="805"/>
      <c r="B59" s="815" t="s">
        <v>734</v>
      </c>
      <c r="C59" s="816"/>
      <c r="D59" s="481"/>
      <c r="E59" s="482">
        <v>200000</v>
      </c>
      <c r="F59" s="478"/>
      <c r="G59" s="478"/>
      <c r="H59" s="478">
        <v>1</v>
      </c>
      <c r="I59" s="482"/>
      <c r="J59" s="808"/>
      <c r="K59" s="817"/>
      <c r="L59" s="484"/>
      <c r="M59" s="485">
        <f>E59</f>
        <v>200000</v>
      </c>
      <c r="N59" s="486"/>
    </row>
    <row r="60" spans="1:14" ht="15.75" customHeight="1" thickBot="1">
      <c r="A60" s="805"/>
      <c r="B60" s="815" t="s">
        <v>735</v>
      </c>
      <c r="C60" s="816"/>
      <c r="D60" s="481"/>
      <c r="E60" s="482">
        <v>300000</v>
      </c>
      <c r="F60" s="478"/>
      <c r="G60" s="478"/>
      <c r="H60" s="478">
        <v>1</v>
      </c>
      <c r="I60" s="482"/>
      <c r="J60" s="808"/>
      <c r="K60" s="817"/>
      <c r="L60" s="484"/>
      <c r="M60" s="485">
        <f>E60</f>
        <v>300000</v>
      </c>
      <c r="N60" s="486"/>
    </row>
    <row r="61" spans="1:14" ht="27" customHeight="1" thickBot="1">
      <c r="A61" s="805"/>
      <c r="B61" s="815" t="s">
        <v>736</v>
      </c>
      <c r="C61" s="816"/>
      <c r="D61" s="481"/>
      <c r="E61" s="482">
        <v>63000</v>
      </c>
      <c r="F61" s="478"/>
      <c r="G61" s="478"/>
      <c r="H61" s="478">
        <v>1</v>
      </c>
      <c r="I61" s="482"/>
      <c r="J61" s="808"/>
      <c r="K61" s="817"/>
      <c r="L61" s="484"/>
      <c r="M61" s="485">
        <f>G61</f>
        <v>0</v>
      </c>
      <c r="N61" s="486"/>
    </row>
    <row r="62" spans="1:14" ht="15.75" customHeight="1" thickBot="1">
      <c r="A62" s="805"/>
      <c r="B62" s="809"/>
      <c r="C62" s="809"/>
      <c r="D62" s="481"/>
      <c r="E62" s="482"/>
      <c r="F62" s="478"/>
      <c r="G62" s="478"/>
      <c r="H62" s="478"/>
      <c r="I62" s="482"/>
      <c r="J62" s="810"/>
      <c r="K62" s="810"/>
      <c r="L62" s="484"/>
      <c r="M62" s="485"/>
      <c r="N62" s="486"/>
    </row>
    <row r="63" spans="1:14" ht="15.75" customHeight="1" thickBot="1">
      <c r="A63" s="805"/>
      <c r="B63" s="809"/>
      <c r="C63" s="809"/>
      <c r="D63" s="481"/>
      <c r="E63" s="482"/>
      <c r="F63" s="478"/>
      <c r="G63" s="478"/>
      <c r="H63" s="478"/>
      <c r="I63" s="482"/>
      <c r="J63" s="810"/>
      <c r="K63" s="810"/>
      <c r="L63" s="484"/>
      <c r="M63" s="485"/>
      <c r="N63" s="486"/>
    </row>
    <row r="64" spans="1:14" ht="15.75" customHeight="1" thickBot="1">
      <c r="A64" s="805"/>
      <c r="B64" s="809"/>
      <c r="C64" s="809"/>
      <c r="D64" s="481"/>
      <c r="E64" s="482"/>
      <c r="F64" s="478"/>
      <c r="G64" s="478"/>
      <c r="H64" s="478"/>
      <c r="I64" s="482"/>
      <c r="J64" s="810"/>
      <c r="K64" s="810"/>
      <c r="L64" s="484"/>
      <c r="M64" s="485"/>
      <c r="N64" s="486"/>
    </row>
    <row r="65" spans="1:14" ht="15.75" customHeight="1" thickBot="1">
      <c r="A65" s="805"/>
      <c r="B65" s="809"/>
      <c r="C65" s="809"/>
      <c r="D65" s="481"/>
      <c r="E65" s="482"/>
      <c r="F65" s="478"/>
      <c r="G65" s="478"/>
      <c r="H65" s="478"/>
      <c r="I65" s="482"/>
      <c r="J65" s="810"/>
      <c r="K65" s="810"/>
      <c r="L65" s="484"/>
      <c r="M65" s="485"/>
      <c r="N65" s="486"/>
    </row>
    <row r="66" spans="1:14" ht="15.75" customHeight="1" thickBot="1">
      <c r="A66" s="805"/>
      <c r="B66" s="809"/>
      <c r="C66" s="809"/>
      <c r="D66" s="481"/>
      <c r="E66" s="482"/>
      <c r="F66" s="478"/>
      <c r="G66" s="478"/>
      <c r="H66" s="478"/>
      <c r="I66" s="482"/>
      <c r="J66" s="810"/>
      <c r="K66" s="810"/>
      <c r="L66" s="484"/>
      <c r="M66" s="485"/>
      <c r="N66" s="486"/>
    </row>
    <row r="67" spans="1:14" ht="15.75" customHeight="1" thickBot="1">
      <c r="A67" s="805"/>
      <c r="B67" s="809"/>
      <c r="C67" s="809"/>
      <c r="D67" s="481"/>
      <c r="E67" s="482"/>
      <c r="F67" s="478"/>
      <c r="G67" s="478"/>
      <c r="H67" s="478"/>
      <c r="I67" s="482"/>
      <c r="J67" s="810"/>
      <c r="K67" s="810"/>
      <c r="L67" s="484"/>
      <c r="M67" s="485"/>
      <c r="N67" s="486"/>
    </row>
    <row r="68" spans="1:14" ht="15.75" customHeight="1" thickBot="1">
      <c r="A68" s="805"/>
      <c r="B68" s="809"/>
      <c r="C68" s="809"/>
      <c r="D68" s="481"/>
      <c r="E68" s="482"/>
      <c r="F68" s="478"/>
      <c r="G68" s="478"/>
      <c r="H68" s="478"/>
      <c r="I68" s="482"/>
      <c r="J68" s="810"/>
      <c r="K68" s="810"/>
      <c r="L68" s="811"/>
      <c r="M68" s="485"/>
      <c r="N68" s="486"/>
    </row>
    <row r="69" spans="1:14" ht="15.75" customHeight="1" thickBot="1">
      <c r="A69" s="805" t="s">
        <v>737</v>
      </c>
      <c r="B69" s="809" t="s">
        <v>738</v>
      </c>
      <c r="C69" s="809"/>
      <c r="D69" s="481"/>
      <c r="E69" s="482">
        <v>750000</v>
      </c>
      <c r="F69" s="478"/>
      <c r="G69" s="478"/>
      <c r="H69" s="478">
        <v>1</v>
      </c>
      <c r="I69" s="482"/>
      <c r="J69" s="810"/>
      <c r="K69" s="810"/>
      <c r="L69" s="811"/>
      <c r="M69" s="485"/>
      <c r="N69" s="486">
        <v>750000</v>
      </c>
    </row>
    <row r="70" spans="1:14" ht="15.75" customHeight="1" thickBot="1">
      <c r="A70" s="805"/>
      <c r="B70" s="809" t="s">
        <v>739</v>
      </c>
      <c r="C70" s="809"/>
      <c r="D70" s="481"/>
      <c r="E70" s="482">
        <v>300000</v>
      </c>
      <c r="F70" s="478"/>
      <c r="G70" s="478"/>
      <c r="H70" s="478">
        <v>1</v>
      </c>
      <c r="I70" s="482"/>
      <c r="J70" s="810"/>
      <c r="K70" s="810"/>
      <c r="L70" s="811"/>
      <c r="M70" s="485"/>
      <c r="N70" s="486">
        <v>300000</v>
      </c>
    </row>
    <row r="71" spans="1:14" ht="15.75" customHeight="1" thickBot="1">
      <c r="A71" s="805"/>
      <c r="B71" s="809" t="s">
        <v>740</v>
      </c>
      <c r="C71" s="822"/>
      <c r="D71" s="481"/>
      <c r="E71" s="482">
        <v>46000</v>
      </c>
      <c r="F71" s="478"/>
      <c r="G71" s="478">
        <v>1</v>
      </c>
      <c r="H71" s="478"/>
      <c r="I71" s="482">
        <v>46000</v>
      </c>
      <c r="J71" s="810"/>
      <c r="K71" s="810"/>
      <c r="L71" s="810"/>
      <c r="M71" s="489"/>
      <c r="N71" s="486"/>
    </row>
    <row r="72" spans="1:14" ht="15.75" customHeight="1" thickBot="1">
      <c r="A72" s="805"/>
      <c r="B72" s="809" t="s">
        <v>741</v>
      </c>
      <c r="C72" s="822"/>
      <c r="D72" s="481"/>
      <c r="E72" s="482">
        <v>15000</v>
      </c>
      <c r="F72" s="478"/>
      <c r="G72" s="478"/>
      <c r="H72" s="478">
        <v>1</v>
      </c>
      <c r="I72" s="482"/>
      <c r="J72" s="810"/>
      <c r="K72" s="810"/>
      <c r="L72" s="810"/>
      <c r="M72" s="489">
        <f>E72</f>
        <v>15000</v>
      </c>
      <c r="N72" s="486"/>
    </row>
    <row r="73" spans="1:14" ht="15.75" customHeight="1" thickBot="1">
      <c r="A73" s="805"/>
      <c r="B73" s="809" t="s">
        <v>742</v>
      </c>
      <c r="C73" s="822"/>
      <c r="D73" s="481"/>
      <c r="E73" s="482">
        <v>100000</v>
      </c>
      <c r="F73" s="478"/>
      <c r="G73" s="478"/>
      <c r="H73" s="478">
        <v>1</v>
      </c>
      <c r="I73" s="482"/>
      <c r="J73" s="810"/>
      <c r="K73" s="810"/>
      <c r="L73" s="810"/>
      <c r="M73" s="489">
        <f>E73</f>
        <v>100000</v>
      </c>
      <c r="N73" s="486"/>
    </row>
    <row r="74" spans="1:14" ht="15.75" customHeight="1" thickBot="1">
      <c r="A74" s="805"/>
      <c r="B74" s="809" t="s">
        <v>743</v>
      </c>
      <c r="C74" s="822"/>
      <c r="D74" s="481"/>
      <c r="E74" s="482">
        <v>75000</v>
      </c>
      <c r="F74" s="478"/>
      <c r="G74" s="478">
        <v>0.3</v>
      </c>
      <c r="H74" s="478">
        <v>0.7</v>
      </c>
      <c r="I74" s="482"/>
      <c r="J74" s="810"/>
      <c r="K74" s="810"/>
      <c r="L74" s="810"/>
      <c r="M74" s="489">
        <f>E74</f>
        <v>75000</v>
      </c>
      <c r="N74" s="486"/>
    </row>
    <row r="75" spans="1:14" ht="15.75" customHeight="1" thickBot="1">
      <c r="A75" s="805"/>
      <c r="B75" s="809" t="s">
        <v>744</v>
      </c>
      <c r="C75" s="822"/>
      <c r="D75" s="481"/>
      <c r="E75" s="482">
        <v>45000</v>
      </c>
      <c r="F75" s="478"/>
      <c r="G75" s="478"/>
      <c r="H75" s="478">
        <v>1</v>
      </c>
      <c r="I75" s="482"/>
      <c r="J75" s="810"/>
      <c r="K75" s="810"/>
      <c r="L75" s="810"/>
      <c r="M75" s="489">
        <v>45000</v>
      </c>
      <c r="N75" s="486"/>
    </row>
    <row r="76" spans="1:14" ht="15.75" customHeight="1" thickBot="1">
      <c r="A76" s="805"/>
      <c r="B76" s="809" t="s">
        <v>745</v>
      </c>
      <c r="C76" s="822"/>
      <c r="D76" s="481"/>
      <c r="E76" s="482">
        <v>112000</v>
      </c>
      <c r="F76" s="478"/>
      <c r="G76" s="478"/>
      <c r="H76" s="478">
        <v>1</v>
      </c>
      <c r="I76" s="482"/>
      <c r="J76" s="810"/>
      <c r="K76" s="810"/>
      <c r="L76" s="810"/>
      <c r="M76" s="489">
        <v>112000</v>
      </c>
      <c r="N76" s="486"/>
    </row>
    <row r="77" spans="1:14" ht="15.75" customHeight="1" thickBot="1">
      <c r="A77" s="821"/>
      <c r="B77" s="809" t="s">
        <v>746</v>
      </c>
      <c r="C77" s="822"/>
      <c r="D77" s="481"/>
      <c r="E77" s="482">
        <v>150000</v>
      </c>
      <c r="F77" s="478"/>
      <c r="G77" s="478">
        <v>0.5</v>
      </c>
      <c r="H77" s="478">
        <v>0.5</v>
      </c>
      <c r="I77" s="482">
        <v>150000</v>
      </c>
      <c r="J77" s="810"/>
      <c r="K77" s="810"/>
      <c r="L77" s="483"/>
      <c r="M77" s="489"/>
      <c r="N77" s="486"/>
    </row>
    <row r="78" spans="1:14" ht="15.75" customHeight="1" thickBot="1">
      <c r="A78" s="821"/>
      <c r="B78" s="809"/>
      <c r="C78" s="822"/>
      <c r="D78" s="481"/>
      <c r="E78" s="482"/>
      <c r="F78" s="478"/>
      <c r="G78" s="478"/>
      <c r="H78" s="478"/>
      <c r="I78" s="482"/>
      <c r="J78" s="810"/>
      <c r="K78" s="810"/>
      <c r="L78" s="483"/>
      <c r="M78" s="489"/>
      <c r="N78" s="486"/>
    </row>
    <row r="79" spans="1:14" ht="15.75" customHeight="1" thickBot="1">
      <c r="A79" s="821"/>
      <c r="B79" s="809"/>
      <c r="C79" s="822"/>
      <c r="D79" s="481"/>
      <c r="E79" s="482"/>
      <c r="F79" s="478"/>
      <c r="G79" s="478"/>
      <c r="H79" s="478"/>
      <c r="I79" s="482"/>
      <c r="J79" s="810"/>
      <c r="K79" s="810"/>
      <c r="L79" s="483"/>
      <c r="M79" s="489"/>
      <c r="N79" s="486"/>
    </row>
    <row r="80" spans="1:14" ht="15.75" customHeight="1" thickBot="1">
      <c r="A80" s="821"/>
      <c r="B80" s="809"/>
      <c r="C80" s="822"/>
      <c r="D80" s="481"/>
      <c r="E80" s="482"/>
      <c r="F80" s="478"/>
      <c r="G80" s="478"/>
      <c r="H80" s="478"/>
      <c r="I80" s="482"/>
      <c r="J80" s="810"/>
      <c r="K80" s="810"/>
      <c r="L80" s="483"/>
      <c r="M80" s="489"/>
      <c r="N80" s="486"/>
    </row>
    <row r="81" spans="1:14" ht="15.75" customHeight="1" thickBot="1">
      <c r="A81" s="821"/>
      <c r="B81" s="809"/>
      <c r="C81" s="822"/>
      <c r="D81" s="481"/>
      <c r="E81" s="482"/>
      <c r="F81" s="478"/>
      <c r="G81" s="478"/>
      <c r="H81" s="478"/>
      <c r="I81" s="482"/>
      <c r="J81" s="810"/>
      <c r="K81" s="810"/>
      <c r="L81" s="483"/>
      <c r="M81" s="489"/>
      <c r="N81" s="486"/>
    </row>
    <row r="82" spans="1:14" ht="15.75" customHeight="1" thickBot="1">
      <c r="A82" s="821"/>
      <c r="B82" s="809"/>
      <c r="C82" s="822"/>
      <c r="D82" s="481"/>
      <c r="E82" s="482"/>
      <c r="F82" s="478"/>
      <c r="G82" s="478"/>
      <c r="H82" s="478"/>
      <c r="I82" s="482"/>
      <c r="J82" s="810"/>
      <c r="K82" s="810"/>
      <c r="L82" s="810"/>
      <c r="M82" s="489"/>
      <c r="N82" s="486"/>
    </row>
    <row r="83" spans="1:14" ht="15.75" customHeight="1" thickBot="1">
      <c r="A83" s="823" t="s">
        <v>747</v>
      </c>
      <c r="B83" s="809" t="s">
        <v>748</v>
      </c>
      <c r="C83" s="809"/>
      <c r="D83" s="481"/>
      <c r="E83" s="482">
        <v>100000</v>
      </c>
      <c r="F83" s="478"/>
      <c r="G83" s="478"/>
      <c r="H83" s="478">
        <v>1</v>
      </c>
      <c r="I83" s="482"/>
      <c r="J83" s="810"/>
      <c r="K83" s="810"/>
      <c r="L83" s="811"/>
      <c r="M83" s="485">
        <f>E83</f>
        <v>100000</v>
      </c>
      <c r="N83" s="486"/>
    </row>
    <row r="84" spans="1:14" ht="15.75" customHeight="1" thickBot="1">
      <c r="A84" s="824"/>
      <c r="B84" s="809" t="s">
        <v>749</v>
      </c>
      <c r="C84" s="809"/>
      <c r="D84" s="481"/>
      <c r="E84" s="482">
        <v>44000</v>
      </c>
      <c r="F84" s="478"/>
      <c r="G84" s="478"/>
      <c r="H84" s="478">
        <v>1</v>
      </c>
      <c r="I84" s="482"/>
      <c r="J84" s="810"/>
      <c r="K84" s="810"/>
      <c r="L84" s="811"/>
      <c r="M84" s="485">
        <v>44000</v>
      </c>
      <c r="N84" s="486"/>
    </row>
    <row r="85" spans="1:14" ht="15.75" customHeight="1" thickBot="1">
      <c r="A85" s="824"/>
      <c r="B85" s="809" t="s">
        <v>750</v>
      </c>
      <c r="C85" s="822"/>
      <c r="D85" s="481"/>
      <c r="E85" s="482">
        <v>950000</v>
      </c>
      <c r="F85" s="478"/>
      <c r="G85" s="478"/>
      <c r="H85" s="478">
        <v>1</v>
      </c>
      <c r="I85" s="482"/>
      <c r="J85" s="810"/>
      <c r="K85" s="810"/>
      <c r="L85" s="810"/>
      <c r="M85" s="489">
        <v>950000</v>
      </c>
      <c r="N85" s="486"/>
    </row>
    <row r="86" spans="1:14" ht="15.75" customHeight="1" thickBot="1">
      <c r="A86" s="824"/>
      <c r="B86" s="809"/>
      <c r="C86" s="822"/>
      <c r="D86" s="481"/>
      <c r="E86" s="482"/>
      <c r="F86" s="478"/>
      <c r="G86" s="478"/>
      <c r="H86" s="478"/>
      <c r="I86" s="482"/>
      <c r="J86" s="810"/>
      <c r="K86" s="810"/>
      <c r="L86" s="483"/>
      <c r="M86" s="489"/>
      <c r="N86" s="486"/>
    </row>
    <row r="87" spans="1:14" ht="15.75" customHeight="1" thickBot="1">
      <c r="A87" s="824"/>
      <c r="B87" s="809"/>
      <c r="C87" s="822"/>
      <c r="D87" s="481"/>
      <c r="E87" s="482"/>
      <c r="F87" s="478"/>
      <c r="G87" s="478"/>
      <c r="H87" s="478"/>
      <c r="I87" s="482"/>
      <c r="J87" s="810"/>
      <c r="K87" s="810"/>
      <c r="L87" s="483"/>
      <c r="M87" s="489"/>
      <c r="N87" s="486"/>
    </row>
    <row r="88" spans="1:14" ht="15.75" customHeight="1" thickBot="1">
      <c r="A88" s="824"/>
      <c r="B88" s="809"/>
      <c r="C88" s="822"/>
      <c r="D88" s="481"/>
      <c r="E88" s="482"/>
      <c r="F88" s="478"/>
      <c r="G88" s="478"/>
      <c r="H88" s="478"/>
      <c r="I88" s="482"/>
      <c r="J88" s="810"/>
      <c r="K88" s="810"/>
      <c r="L88" s="483"/>
      <c r="M88" s="489"/>
      <c r="N88" s="486"/>
    </row>
    <row r="89" spans="1:14" ht="15.75" customHeight="1" thickBot="1">
      <c r="A89" s="824"/>
      <c r="B89" s="809"/>
      <c r="C89" s="822"/>
      <c r="D89" s="481"/>
      <c r="E89" s="482"/>
      <c r="F89" s="478"/>
      <c r="G89" s="478"/>
      <c r="H89" s="478"/>
      <c r="I89" s="482"/>
      <c r="J89" s="810"/>
      <c r="K89" s="810"/>
      <c r="L89" s="483"/>
      <c r="M89" s="489"/>
      <c r="N89" s="486"/>
    </row>
    <row r="90" spans="1:14" ht="15.75" customHeight="1" thickBot="1">
      <c r="A90" s="824"/>
      <c r="B90" s="809"/>
      <c r="C90" s="822"/>
      <c r="D90" s="481"/>
      <c r="E90" s="482"/>
      <c r="F90" s="478"/>
      <c r="G90" s="478"/>
      <c r="H90" s="478"/>
      <c r="I90" s="482"/>
      <c r="J90" s="810"/>
      <c r="K90" s="810"/>
      <c r="L90" s="483"/>
      <c r="M90" s="489"/>
      <c r="N90" s="486"/>
    </row>
    <row r="91" spans="1:14" ht="15.75" customHeight="1" thickBot="1">
      <c r="A91" s="824"/>
      <c r="B91" s="809"/>
      <c r="C91" s="822"/>
      <c r="D91" s="481"/>
      <c r="E91" s="482"/>
      <c r="F91" s="478"/>
      <c r="G91" s="478"/>
      <c r="H91" s="478"/>
      <c r="I91" s="482"/>
      <c r="J91" s="810"/>
      <c r="K91" s="810"/>
      <c r="L91" s="483"/>
      <c r="M91" s="489"/>
      <c r="N91" s="486"/>
    </row>
    <row r="92" spans="1:14" ht="15.75" customHeight="1" thickBot="1">
      <c r="A92" s="824"/>
      <c r="B92" s="809"/>
      <c r="C92" s="822"/>
      <c r="D92" s="481"/>
      <c r="E92" s="482"/>
      <c r="F92" s="478"/>
      <c r="G92" s="478"/>
      <c r="H92" s="478"/>
      <c r="I92" s="482"/>
      <c r="J92" s="810"/>
      <c r="K92" s="810"/>
      <c r="L92" s="810"/>
      <c r="M92" s="489"/>
      <c r="N92" s="486"/>
    </row>
    <row r="93" spans="1:14" ht="15.75" customHeight="1" thickBot="1">
      <c r="A93" s="825"/>
      <c r="B93" s="827"/>
      <c r="C93" s="819"/>
      <c r="D93" s="481"/>
      <c r="E93" s="482"/>
      <c r="F93" s="478"/>
      <c r="G93" s="478"/>
      <c r="H93" s="478"/>
      <c r="I93" s="482"/>
      <c r="J93" s="808"/>
      <c r="K93" s="817"/>
      <c r="L93" s="483"/>
      <c r="M93" s="489"/>
      <c r="N93" s="486"/>
    </row>
    <row r="94" spans="2:14" ht="15.75" customHeight="1" thickBot="1">
      <c r="B94" s="822"/>
      <c r="C94" s="822"/>
      <c r="D94" s="481"/>
      <c r="E94" s="482"/>
      <c r="F94" s="478"/>
      <c r="G94" s="478"/>
      <c r="H94" s="478"/>
      <c r="I94" s="482"/>
      <c r="J94" s="810"/>
      <c r="K94" s="810"/>
      <c r="L94" s="810"/>
      <c r="M94" s="489"/>
      <c r="N94" s="486"/>
    </row>
    <row r="95" spans="2:15" ht="15.75" customHeight="1" thickBot="1">
      <c r="B95" s="802" t="s">
        <v>187</v>
      </c>
      <c r="C95" s="802"/>
      <c r="D95" s="802"/>
      <c r="E95" s="802"/>
      <c r="F95" s="802"/>
      <c r="G95" s="802"/>
      <c r="H95" s="802"/>
      <c r="I95" s="490">
        <f>SUM(I10:I94)</f>
        <v>6741547.35</v>
      </c>
      <c r="J95" s="826">
        <v>0</v>
      </c>
      <c r="K95" s="826"/>
      <c r="L95" s="826"/>
      <c r="M95" s="491">
        <f>SUM(M10:M94)</f>
        <v>7896280.17</v>
      </c>
      <c r="N95" s="486">
        <f>SUM(N10:N94)</f>
        <v>3254595.73</v>
      </c>
      <c r="O95" s="492"/>
    </row>
    <row r="98" ht="12.75">
      <c r="O98" s="493"/>
    </row>
  </sheetData>
  <sheetProtection selectLockedCells="1" selectUnlockedCells="1"/>
  <mergeCells count="196">
    <mergeCell ref="B95:H95"/>
    <mergeCell ref="J95:L95"/>
    <mergeCell ref="B92:C92"/>
    <mergeCell ref="J92:L92"/>
    <mergeCell ref="B93:C93"/>
    <mergeCell ref="J93:K93"/>
    <mergeCell ref="B94:C94"/>
    <mergeCell ref="J94:L94"/>
    <mergeCell ref="B89:C89"/>
    <mergeCell ref="J89:K89"/>
    <mergeCell ref="B90:C90"/>
    <mergeCell ref="J90:K90"/>
    <mergeCell ref="B91:C91"/>
    <mergeCell ref="J91:K91"/>
    <mergeCell ref="J85:L85"/>
    <mergeCell ref="B86:C86"/>
    <mergeCell ref="J86:K86"/>
    <mergeCell ref="B87:C87"/>
    <mergeCell ref="J87:K87"/>
    <mergeCell ref="B88:C88"/>
    <mergeCell ref="J88:K88"/>
    <mergeCell ref="B81:C81"/>
    <mergeCell ref="J81:K81"/>
    <mergeCell ref="B82:C82"/>
    <mergeCell ref="J82:L82"/>
    <mergeCell ref="A83:A93"/>
    <mergeCell ref="B83:C83"/>
    <mergeCell ref="J83:L83"/>
    <mergeCell ref="B84:C84"/>
    <mergeCell ref="J84:L84"/>
    <mergeCell ref="B85:C85"/>
    <mergeCell ref="B78:C78"/>
    <mergeCell ref="J78:K78"/>
    <mergeCell ref="B79:C79"/>
    <mergeCell ref="J79:K79"/>
    <mergeCell ref="B80:C80"/>
    <mergeCell ref="J80:K80"/>
    <mergeCell ref="B75:C75"/>
    <mergeCell ref="J75:L75"/>
    <mergeCell ref="B76:C76"/>
    <mergeCell ref="J76:L76"/>
    <mergeCell ref="B77:C77"/>
    <mergeCell ref="J77:K77"/>
    <mergeCell ref="J71:L71"/>
    <mergeCell ref="B72:C72"/>
    <mergeCell ref="J72:L72"/>
    <mergeCell ref="B73:C73"/>
    <mergeCell ref="J73:L73"/>
    <mergeCell ref="B74:C74"/>
    <mergeCell ref="J74:L74"/>
    <mergeCell ref="B67:C67"/>
    <mergeCell ref="J67:K67"/>
    <mergeCell ref="B68:C68"/>
    <mergeCell ref="J68:L68"/>
    <mergeCell ref="A69:A82"/>
    <mergeCell ref="B69:C69"/>
    <mergeCell ref="J69:L69"/>
    <mergeCell ref="B70:C70"/>
    <mergeCell ref="J70:L70"/>
    <mergeCell ref="B71:C71"/>
    <mergeCell ref="B64:C64"/>
    <mergeCell ref="J64:K64"/>
    <mergeCell ref="B65:C65"/>
    <mergeCell ref="J65:K65"/>
    <mergeCell ref="B66:C66"/>
    <mergeCell ref="J66:K66"/>
    <mergeCell ref="B61:C61"/>
    <mergeCell ref="J61:K61"/>
    <mergeCell ref="B62:C62"/>
    <mergeCell ref="J62:K62"/>
    <mergeCell ref="B63:C63"/>
    <mergeCell ref="J63:K63"/>
    <mergeCell ref="B58:C58"/>
    <mergeCell ref="J58:L58"/>
    <mergeCell ref="B59:C59"/>
    <mergeCell ref="J59:K59"/>
    <mergeCell ref="B60:C60"/>
    <mergeCell ref="J60:K60"/>
    <mergeCell ref="J54:L54"/>
    <mergeCell ref="B55:C55"/>
    <mergeCell ref="J55:L55"/>
    <mergeCell ref="B56:C56"/>
    <mergeCell ref="J56:L56"/>
    <mergeCell ref="B57:C57"/>
    <mergeCell ref="J57:L57"/>
    <mergeCell ref="A50:A68"/>
    <mergeCell ref="B50:C50"/>
    <mergeCell ref="J50:L50"/>
    <mergeCell ref="B51:C51"/>
    <mergeCell ref="J51:L51"/>
    <mergeCell ref="B52:C52"/>
    <mergeCell ref="J52:K52"/>
    <mergeCell ref="B53:C53"/>
    <mergeCell ref="J53:K53"/>
    <mergeCell ref="B54:C54"/>
    <mergeCell ref="J46:L46"/>
    <mergeCell ref="B47:C47"/>
    <mergeCell ref="J47:L47"/>
    <mergeCell ref="B48:C48"/>
    <mergeCell ref="J48:L48"/>
    <mergeCell ref="B49:C49"/>
    <mergeCell ref="J49:L49"/>
    <mergeCell ref="B42:C42"/>
    <mergeCell ref="J42:L42"/>
    <mergeCell ref="A43:A49"/>
    <mergeCell ref="B43:C43"/>
    <mergeCell ref="J43:L43"/>
    <mergeCell ref="B44:C44"/>
    <mergeCell ref="J44:L44"/>
    <mergeCell ref="B45:C45"/>
    <mergeCell ref="J45:L45"/>
    <mergeCell ref="B46:C46"/>
    <mergeCell ref="J38:L38"/>
    <mergeCell ref="B39:C39"/>
    <mergeCell ref="J39:L39"/>
    <mergeCell ref="B40:C40"/>
    <mergeCell ref="J40:L40"/>
    <mergeCell ref="B41:C41"/>
    <mergeCell ref="J41:L41"/>
    <mergeCell ref="A34:A42"/>
    <mergeCell ref="B34:C34"/>
    <mergeCell ref="J34:L34"/>
    <mergeCell ref="B35:C35"/>
    <mergeCell ref="J35:L35"/>
    <mergeCell ref="B36:C36"/>
    <mergeCell ref="J36:L36"/>
    <mergeCell ref="B37:C37"/>
    <mergeCell ref="J37:L37"/>
    <mergeCell ref="B38:C38"/>
    <mergeCell ref="B31:C31"/>
    <mergeCell ref="J31:K31"/>
    <mergeCell ref="B32:C32"/>
    <mergeCell ref="J32:K32"/>
    <mergeCell ref="B33:C33"/>
    <mergeCell ref="J33:L33"/>
    <mergeCell ref="B28:C28"/>
    <mergeCell ref="J28:K28"/>
    <mergeCell ref="B29:C29"/>
    <mergeCell ref="J29:K29"/>
    <mergeCell ref="B30:C30"/>
    <mergeCell ref="J30:K30"/>
    <mergeCell ref="B25:C25"/>
    <mergeCell ref="J25:L25"/>
    <mergeCell ref="B26:C26"/>
    <mergeCell ref="J26:L26"/>
    <mergeCell ref="B27:C27"/>
    <mergeCell ref="J27:K27"/>
    <mergeCell ref="B22:C22"/>
    <mergeCell ref="J22:L22"/>
    <mergeCell ref="B23:C23"/>
    <mergeCell ref="J23:L23"/>
    <mergeCell ref="B24:C24"/>
    <mergeCell ref="J24:K24"/>
    <mergeCell ref="B19:C19"/>
    <mergeCell ref="J19:L19"/>
    <mergeCell ref="B20:C20"/>
    <mergeCell ref="J20:L20"/>
    <mergeCell ref="B21:C21"/>
    <mergeCell ref="J21:L21"/>
    <mergeCell ref="B16:C16"/>
    <mergeCell ref="J16:L16"/>
    <mergeCell ref="B17:C17"/>
    <mergeCell ref="J17:L17"/>
    <mergeCell ref="B18:C18"/>
    <mergeCell ref="J18:L18"/>
    <mergeCell ref="J12:L12"/>
    <mergeCell ref="B13:C13"/>
    <mergeCell ref="J13:L13"/>
    <mergeCell ref="B14:C14"/>
    <mergeCell ref="J14:L14"/>
    <mergeCell ref="B15:C15"/>
    <mergeCell ref="J15:L15"/>
    <mergeCell ref="I8:I9"/>
    <mergeCell ref="J8:L9"/>
    <mergeCell ref="M8:M9"/>
    <mergeCell ref="N8:N9"/>
    <mergeCell ref="A10:A33"/>
    <mergeCell ref="B10:C10"/>
    <mergeCell ref="J10:L10"/>
    <mergeCell ref="B11:C11"/>
    <mergeCell ref="J11:L11"/>
    <mergeCell ref="B12:C12"/>
    <mergeCell ref="B8:C9"/>
    <mergeCell ref="D8:D9"/>
    <mergeCell ref="E8:E9"/>
    <mergeCell ref="F8:F9"/>
    <mergeCell ref="G8:G9"/>
    <mergeCell ref="H8:H9"/>
    <mergeCell ref="A1:N2"/>
    <mergeCell ref="A3:N3"/>
    <mergeCell ref="A4:N4"/>
    <mergeCell ref="A5:N5"/>
    <mergeCell ref="A6:N6"/>
    <mergeCell ref="B7:C7"/>
    <mergeCell ref="F7:H7"/>
    <mergeCell ref="I7:N7"/>
  </mergeCells>
  <printOptions horizontalCentered="1"/>
  <pageMargins left="0.19652777777777777" right="0.19652777777777777" top="0.19652777777777777" bottom="0.19652777777777777" header="0.5118055555555555" footer="0.5118055555555555"/>
  <pageSetup horizontalDpi="300" verticalDpi="300" orientation="landscape" paperSize="9" scale="83" r:id="rId3"/>
  <rowBreaks count="1" manualBreakCount="1">
    <brk id="42" max="13" man="1"/>
  </rowBreaks>
  <legacyDrawing r:id="rId2"/>
</worksheet>
</file>

<file path=xl/worksheets/sheet2.xml><?xml version="1.0" encoding="utf-8"?>
<worksheet xmlns="http://schemas.openxmlformats.org/spreadsheetml/2006/main" xmlns:r="http://schemas.openxmlformats.org/officeDocument/2006/relationships">
  <sheetPr codeName="Plan3"/>
  <dimension ref="A1:FV316"/>
  <sheetViews>
    <sheetView zoomScale="75" zoomScaleNormal="75" zoomScaleSheetLayoutView="30" workbookViewId="0" topLeftCell="A134">
      <selection activeCell="C155" sqref="C155"/>
    </sheetView>
  </sheetViews>
  <sheetFormatPr defaultColWidth="19.140625" defaultRowHeight="12.75"/>
  <cols>
    <col min="1" max="1" width="27.7109375" style="4" customWidth="1"/>
    <col min="2" max="2" width="18.7109375" style="414" customWidth="1"/>
    <col min="3" max="3" width="76.28125" style="4" customWidth="1"/>
    <col min="4" max="6" width="20.7109375" style="4" customWidth="1"/>
    <col min="7" max="7" width="21.8515625" style="4" customWidth="1"/>
    <col min="8" max="8" width="22.421875" style="4" customWidth="1"/>
    <col min="9" max="9" width="22.8515625" style="4" customWidth="1"/>
    <col min="10" max="10" width="23.00390625" style="4" customWidth="1"/>
    <col min="11" max="178" width="19.140625" style="79" customWidth="1"/>
    <col min="179" max="16384" width="19.140625" style="4" customWidth="1"/>
  </cols>
  <sheetData>
    <row r="1" spans="1:178" s="2" customFormat="1" ht="17.25" customHeight="1">
      <c r="A1" s="555" t="str">
        <f>Parâmetros!A7</f>
        <v>Município de : IVOTI</v>
      </c>
      <c r="B1" s="555"/>
      <c r="C1" s="556"/>
      <c r="D1" s="556"/>
      <c r="E1" s="556"/>
      <c r="F1" s="556"/>
      <c r="G1" s="556"/>
      <c r="H1" s="556"/>
      <c r="I1" s="556"/>
      <c r="J1" s="556"/>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row>
    <row r="2" spans="1:178" s="2" customFormat="1" ht="30" customHeight="1">
      <c r="A2" s="557" t="str">
        <f>Parâmetros!A8</f>
        <v>LEI DE DIRETRIZES ORÇAMENTÁRIAS  PARA 2023</v>
      </c>
      <c r="B2" s="557"/>
      <c r="C2" s="556"/>
      <c r="D2" s="556"/>
      <c r="E2" s="556"/>
      <c r="F2" s="556"/>
      <c r="G2" s="556"/>
      <c r="H2" s="556"/>
      <c r="I2" s="556"/>
      <c r="J2" s="556"/>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row>
    <row r="3" spans="1:178" s="2" customFormat="1" ht="19.5" customHeight="1">
      <c r="A3" s="558" t="s">
        <v>560</v>
      </c>
      <c r="B3" s="558"/>
      <c r="C3" s="556"/>
      <c r="D3" s="556"/>
      <c r="E3" s="556"/>
      <c r="F3" s="556"/>
      <c r="G3" s="556"/>
      <c r="H3" s="556"/>
      <c r="I3" s="556"/>
      <c r="J3" s="556"/>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row>
    <row r="4" spans="1:178" s="2" customFormat="1" ht="15.75" hidden="1">
      <c r="A4" s="15"/>
      <c r="B4" s="415"/>
      <c r="C4" s="16"/>
      <c r="D4" s="16"/>
      <c r="E4" s="16"/>
      <c r="F4" s="16"/>
      <c r="G4" s="16"/>
      <c r="H4" s="16"/>
      <c r="I4" s="16"/>
      <c r="J4" s="16"/>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row>
    <row r="5" spans="1:178" s="2" customFormat="1" ht="15.75">
      <c r="A5" s="17"/>
      <c r="B5" s="416"/>
      <c r="C5" s="18"/>
      <c r="D5" s="18"/>
      <c r="E5" s="18"/>
      <c r="F5" s="18"/>
      <c r="G5" s="18"/>
      <c r="H5" s="18"/>
      <c r="I5" s="18"/>
      <c r="J5" s="19" t="s">
        <v>55</v>
      </c>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row>
    <row r="6" spans="1:178" s="1" customFormat="1" ht="15.75">
      <c r="A6" s="548" t="s">
        <v>658</v>
      </c>
      <c r="B6" s="550" t="s">
        <v>659</v>
      </c>
      <c r="C6" s="424" t="s">
        <v>0</v>
      </c>
      <c r="D6" s="110" t="s">
        <v>192</v>
      </c>
      <c r="E6" s="110" t="s">
        <v>192</v>
      </c>
      <c r="F6" s="110" t="s">
        <v>192</v>
      </c>
      <c r="G6" s="111" t="s">
        <v>121</v>
      </c>
      <c r="H6" s="111" t="s">
        <v>12</v>
      </c>
      <c r="I6" s="112" t="s">
        <v>12</v>
      </c>
      <c r="J6" s="113" t="s">
        <v>12</v>
      </c>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row>
    <row r="7" spans="1:178" s="1" customFormat="1" ht="27.75" customHeight="1">
      <c r="A7" s="549"/>
      <c r="B7" s="549"/>
      <c r="C7" s="423" t="s">
        <v>8</v>
      </c>
      <c r="D7" s="114">
        <f>Parâmetros!B10-1</f>
        <v>2019</v>
      </c>
      <c r="E7" s="115">
        <f aca="true" t="shared" si="0" ref="E7:J7">D7+1</f>
        <v>2020</v>
      </c>
      <c r="F7" s="115">
        <f t="shared" si="0"/>
        <v>2021</v>
      </c>
      <c r="G7" s="115">
        <f t="shared" si="0"/>
        <v>2022</v>
      </c>
      <c r="H7" s="115">
        <f t="shared" si="0"/>
        <v>2023</v>
      </c>
      <c r="I7" s="115">
        <f t="shared" si="0"/>
        <v>2024</v>
      </c>
      <c r="J7" s="115">
        <f t="shared" si="0"/>
        <v>2025</v>
      </c>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row>
    <row r="8" spans="1:178" s="62" customFormat="1" ht="17.25" customHeight="1">
      <c r="A8" s="116" t="s">
        <v>193</v>
      </c>
      <c r="B8" s="421">
        <v>10000000</v>
      </c>
      <c r="C8" s="117" t="s">
        <v>194</v>
      </c>
      <c r="D8" s="118">
        <f aca="true" t="shared" si="1" ref="D8:J8">D9+D15+D23+D34+D35+D36+D39+D67</f>
        <v>98376011.66</v>
      </c>
      <c r="E8" s="118">
        <f t="shared" si="1"/>
        <v>102502125.95</v>
      </c>
      <c r="F8" s="118">
        <f t="shared" si="1"/>
        <v>120296800.25999999</v>
      </c>
      <c r="G8" s="118">
        <f t="shared" si="1"/>
        <v>135058118.64857143</v>
      </c>
      <c r="H8" s="118">
        <f t="shared" si="1"/>
        <v>147814127.42343366</v>
      </c>
      <c r="I8" s="118">
        <f t="shared" si="1"/>
        <v>155870581.7550096</v>
      </c>
      <c r="J8" s="118">
        <f t="shared" si="1"/>
        <v>164209985.9591892</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row>
    <row r="9" spans="1:178" s="8" customFormat="1" ht="12.75">
      <c r="A9" s="119" t="s">
        <v>195</v>
      </c>
      <c r="B9" s="408">
        <v>11000000</v>
      </c>
      <c r="C9" s="120" t="s">
        <v>196</v>
      </c>
      <c r="D9" s="121">
        <f aca="true" t="shared" si="2" ref="D9:J9">D10+D11+D12+D13+D14</f>
        <v>17760821.07</v>
      </c>
      <c r="E9" s="121">
        <f t="shared" si="2"/>
        <v>17913432.57</v>
      </c>
      <c r="F9" s="121">
        <f t="shared" si="2"/>
        <v>21763921.55</v>
      </c>
      <c r="G9" s="121">
        <f t="shared" si="2"/>
        <v>23432891.325714283</v>
      </c>
      <c r="H9" s="121">
        <f t="shared" si="2"/>
        <v>25740134.76617991</v>
      </c>
      <c r="I9" s="121">
        <f t="shared" si="2"/>
        <v>27341202.939150527</v>
      </c>
      <c r="J9" s="121">
        <f t="shared" si="2"/>
        <v>28506658.21647096</v>
      </c>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row>
    <row r="10" spans="1:178" s="8" customFormat="1" ht="12.75">
      <c r="A10" s="122" t="s">
        <v>368</v>
      </c>
      <c r="B10" s="406">
        <v>11130100</v>
      </c>
      <c r="C10" s="123" t="s">
        <v>371</v>
      </c>
      <c r="D10" s="431">
        <v>1503736.94</v>
      </c>
      <c r="E10" s="431">
        <v>1587328.82</v>
      </c>
      <c r="F10" s="59">
        <f>1328302.11+261189.39+3352.2</f>
        <v>1592843.7</v>
      </c>
      <c r="G10" s="59">
        <v>1854000</v>
      </c>
      <c r="H10" s="124">
        <f>(((E10*(1+Parâmetros!B11)*(1+Parâmetros!C11)*(1+Parâmetros!D11))+(F10*(1+Parâmetros!C11)*(1+Parâmetros!D11)+(G10*(1+Parâmetros!D11))))/3)*(1+Parâmetros!E11)*(1+Parâmetros!E15)</f>
        <v>2056798.75434897</v>
      </c>
      <c r="I10" s="124">
        <f>H10*(1+Parâmetros!F11)*(1+Parâmetros!F15)</f>
        <v>2184734.177131625</v>
      </c>
      <c r="J10" s="124">
        <f>I10*(1+Parâmetros!G11)*(1+Parâmetros!G15)</f>
        <v>2277861.3881745003</v>
      </c>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row>
    <row r="11" spans="1:178" s="8" customFormat="1" ht="12.75">
      <c r="A11" s="122" t="s">
        <v>369</v>
      </c>
      <c r="B11" s="406">
        <v>11130100</v>
      </c>
      <c r="C11" s="123" t="s">
        <v>372</v>
      </c>
      <c r="D11" s="431">
        <v>0</v>
      </c>
      <c r="E11" s="431"/>
      <c r="F11" s="59">
        <v>1771.66</v>
      </c>
      <c r="G11" s="59">
        <v>1000</v>
      </c>
      <c r="H11" s="124">
        <f>(((E11*(1+Parâmetros!B11)*(1+Parâmetros!C11)*(1+Parâmetros!D11))+(F11*(1+Parâmetros!C11)*(1+Parâmetros!D11)+(G11*(1+Parâmetros!D11))))/3)*(1+Parâmetros!E11)*(1+Parâmetros!E15)</f>
        <v>1116.7417182205352</v>
      </c>
      <c r="I11" s="124">
        <f>H11*(1+Parâmetros!F11)*(1+Parâmetros!F15)</f>
        <v>1186.2044323326868</v>
      </c>
      <c r="J11" s="124">
        <f>I11*(1+Parâmetros!G11)*(1+Parâmetros!G15)</f>
        <v>1236.7679799103037</v>
      </c>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row>
    <row r="12" spans="1:178" s="8" customFormat="1" ht="12.75">
      <c r="A12" s="122" t="s">
        <v>197</v>
      </c>
      <c r="B12" s="406">
        <v>11100000</v>
      </c>
      <c r="C12" s="123" t="s">
        <v>370</v>
      </c>
      <c r="D12" s="431">
        <v>13917786.58</v>
      </c>
      <c r="E12" s="431">
        <v>13815097.73</v>
      </c>
      <c r="F12" s="59">
        <f>17202279.47+85364.35</f>
        <v>17287643.82</v>
      </c>
      <c r="G12" s="59">
        <f>(((14150835.99-1211866.57-5580399.48)/7)*12)+6230000</f>
        <v>18844691.325714283</v>
      </c>
      <c r="H12" s="124">
        <f>(((E12*(1+Parâmetros!B11)*(1+Parâmetros!C11)*(1+Parâmetros!D11))+(F12*(1+Parâmetros!C11)*(1+Parâmetros!D11)+(G12*(1+Parâmetros!D11))))/3)*(1+Parâmetros!E11)*(1+Parâmetros!E15)</f>
        <v>20353338.252945676</v>
      </c>
      <c r="I12" s="124">
        <f>H12*(1+Parâmetros!F11)*(1+Parâmetros!F15)</f>
        <v>21619341.02979644</v>
      </c>
      <c r="J12" s="124">
        <f>I12*(1+Parâmetros!G11)*(1+Parâmetros!G15)</f>
        <v>22540894.30422414</v>
      </c>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row>
    <row r="13" spans="1:178" s="8" customFormat="1" ht="12" customHeight="1">
      <c r="A13" s="122" t="s">
        <v>198</v>
      </c>
      <c r="B13" s="406">
        <v>11200000</v>
      </c>
      <c r="C13" s="123" t="s">
        <v>199</v>
      </c>
      <c r="D13" s="431">
        <v>2332664.94</v>
      </c>
      <c r="E13" s="431">
        <v>2511006.02</v>
      </c>
      <c r="F13" s="59">
        <v>2881662.37</v>
      </c>
      <c r="G13" s="59">
        <v>2733200</v>
      </c>
      <c r="H13" s="124">
        <f>(((E13*(1+Parâmetros!B11)*(1+Parâmetros!C11)*(1+Parâmetros!D11))+(F13*(1+Parâmetros!C11)*(1+Parâmetros!D11)+(G13*(1+Parâmetros!D11))))/3)*(1+Parâmetros!E11)*(1+Parâmetros!E15)</f>
        <v>3328881.017167047</v>
      </c>
      <c r="I13" s="124">
        <f>H13*(1+Parâmetros!F11)*(1+Parâmetros!F15)</f>
        <v>3535941.5277901306</v>
      </c>
      <c r="J13" s="124">
        <f>I13*(1+Parâmetros!G11)*(1+Parâmetros!G15)</f>
        <v>3686665.7560924096</v>
      </c>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row>
    <row r="14" spans="1:178" s="8" customFormat="1" ht="12.75">
      <c r="A14" s="122" t="s">
        <v>200</v>
      </c>
      <c r="B14" s="406">
        <v>11310000</v>
      </c>
      <c r="C14" s="123" t="s">
        <v>201</v>
      </c>
      <c r="D14" s="431">
        <v>6632.61</v>
      </c>
      <c r="E14" s="431"/>
      <c r="F14" s="59">
        <v>0</v>
      </c>
      <c r="G14" s="59">
        <v>0</v>
      </c>
      <c r="H14" s="124">
        <f>(((E14*(1+Parâmetros!B11)*(1+Parâmetros!C11)*(1+Parâmetros!D11))+(F14*(1+Parâmetros!C11)*(1+Parâmetros!D11)+(G14*(1+Parâmetros!D11))))/3)*(1+Parâmetros!E11)*(1+Parâmetros!E15)</f>
        <v>0</v>
      </c>
      <c r="I14" s="124">
        <f>H14*(1+Parâmetros!F11)*(1+Parâmetros!F15)</f>
        <v>0</v>
      </c>
      <c r="J14" s="124">
        <f>I14*(1+Parâmetros!G11)*(1+Parâmetros!G15)</f>
        <v>0</v>
      </c>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row>
    <row r="15" spans="1:178" ht="12.75">
      <c r="A15" s="119" t="s">
        <v>202</v>
      </c>
      <c r="B15" s="408">
        <v>12000000</v>
      </c>
      <c r="C15" s="120" t="s">
        <v>203</v>
      </c>
      <c r="D15" s="121">
        <f aca="true" t="shared" si="3" ref="D15:J15">D16+D21+D22</f>
        <v>2726519.13</v>
      </c>
      <c r="E15" s="121">
        <f t="shared" si="3"/>
        <v>2802087.55</v>
      </c>
      <c r="F15" s="121">
        <f t="shared" si="3"/>
        <v>3697777.53</v>
      </c>
      <c r="G15" s="121">
        <f t="shared" si="3"/>
        <v>3770000</v>
      </c>
      <c r="H15" s="121">
        <f t="shared" si="3"/>
        <v>4496004.795164366</v>
      </c>
      <c r="I15" s="121">
        <f t="shared" si="3"/>
        <v>4724096.110432644</v>
      </c>
      <c r="J15" s="121">
        <f t="shared" si="3"/>
        <v>4939779.442450558</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row>
    <row r="16" spans="1:178" ht="12.75">
      <c r="A16" s="119" t="s">
        <v>204</v>
      </c>
      <c r="B16" s="408">
        <v>12100000</v>
      </c>
      <c r="C16" s="120" t="s">
        <v>205</v>
      </c>
      <c r="D16" s="121">
        <f aca="true" t="shared" si="4" ref="D16:J16">D17+D18+D19+D20</f>
        <v>2726519.13</v>
      </c>
      <c r="E16" s="121">
        <f t="shared" si="4"/>
        <v>2802087.55</v>
      </c>
      <c r="F16" s="121">
        <f t="shared" si="4"/>
        <v>3697777.53</v>
      </c>
      <c r="G16" s="121">
        <f t="shared" si="4"/>
        <v>3770000</v>
      </c>
      <c r="H16" s="121">
        <f t="shared" si="4"/>
        <v>4496004.795164366</v>
      </c>
      <c r="I16" s="121">
        <f t="shared" si="4"/>
        <v>4724096.110432644</v>
      </c>
      <c r="J16" s="121">
        <f t="shared" si="4"/>
        <v>4939779.442450558</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row>
    <row r="17" spans="1:178" ht="12.75">
      <c r="A17" s="122" t="s">
        <v>625</v>
      </c>
      <c r="B17" s="406">
        <v>12150000</v>
      </c>
      <c r="C17" s="123" t="s">
        <v>362</v>
      </c>
      <c r="D17" s="431">
        <v>2726519.13</v>
      </c>
      <c r="E17" s="431">
        <v>2802087.55</v>
      </c>
      <c r="F17" s="59">
        <v>3697777.53</v>
      </c>
      <c r="G17" s="59">
        <v>3770000</v>
      </c>
      <c r="H17" s="124">
        <f>(((E17*(1+Parâmetros!B11)*(1+Parâmetros!C11)*(1+Parâmetros!D11))+(F17*(1+Parâmetros!C11)*(1+Parâmetros!D11)+(G17*(1+Parâmetros!D11))))/3)*(1+Parâmetros!E11)*(1+Parâmetros!E13)*(1+Parâmetros!E18)</f>
        <v>4496004.795164366</v>
      </c>
      <c r="I17" s="124">
        <f>H17*(1+Parâmetros!F11)*(1+Parâmetros!F13)*(1+Parâmetros!F18)</f>
        <v>4724096.110432644</v>
      </c>
      <c r="J17" s="124">
        <f>I17*(1+Parâmetros!G11)*(1+Parâmetros!G13)*(1+Parâmetros!G18)</f>
        <v>4939779.442450558</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row>
    <row r="18" spans="1:178" ht="12.75">
      <c r="A18" s="122" t="s">
        <v>206</v>
      </c>
      <c r="B18" s="406">
        <v>12160300</v>
      </c>
      <c r="C18" s="123" t="s">
        <v>207</v>
      </c>
      <c r="D18" s="59"/>
      <c r="E18" s="59"/>
      <c r="F18" s="59"/>
      <c r="G18" s="59"/>
      <c r="H18" s="124">
        <f>(((E18*(1+Parâmetros!B11)*(1+Parâmetros!C11)*(1+Parâmetros!D11))+(F18*(1+Parâmetros!C11)*(1+Parâmetros!D11)+(G18*(1+Parâmetros!D11))))/3)*(1+Parâmetros!E11)</f>
        <v>0</v>
      </c>
      <c r="I18" s="124">
        <f>H18*(1+Parâmetros!F11)</f>
        <v>0</v>
      </c>
      <c r="J18" s="124">
        <f>I18*(1+Parâmetros!G11)</f>
        <v>0</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row>
    <row r="19" spans="1:178" ht="12.75">
      <c r="A19" s="122" t="s">
        <v>208</v>
      </c>
      <c r="B19" s="406">
        <v>12190000</v>
      </c>
      <c r="C19" s="123" t="s">
        <v>209</v>
      </c>
      <c r="D19" s="59">
        <v>0</v>
      </c>
      <c r="E19" s="59">
        <v>0</v>
      </c>
      <c r="F19" s="59">
        <v>0</v>
      </c>
      <c r="G19" s="59">
        <v>0</v>
      </c>
      <c r="H19" s="124">
        <f>(((E19*(1+Parâmetros!B11)*(1+Parâmetros!C11)*(1+Parâmetros!D11))+(F19*(1+Parâmetros!C11)*(1+Parâmetros!D11)+(G19*(1+Parâmetros!D11))))/3)*(1+Parâmetros!E11)</f>
        <v>0</v>
      </c>
      <c r="I19" s="124">
        <f>H19*(1+Parâmetros!F11)</f>
        <v>0</v>
      </c>
      <c r="J19" s="124">
        <f>I19*(1+Parâmetros!G11)</f>
        <v>0</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row>
    <row r="20" spans="1:178" ht="12.75">
      <c r="A20" s="122" t="s">
        <v>210</v>
      </c>
      <c r="B20" s="406">
        <v>12199900</v>
      </c>
      <c r="C20" s="123" t="s">
        <v>626</v>
      </c>
      <c r="D20" s="59">
        <v>0</v>
      </c>
      <c r="E20" s="59">
        <v>0</v>
      </c>
      <c r="F20" s="59">
        <v>0</v>
      </c>
      <c r="G20" s="59">
        <v>0</v>
      </c>
      <c r="H20" s="124">
        <f>(((E20*(1+Parâmetros!B11)*(1+Parâmetros!C11)*(1+Parâmetros!D11))+(F20*(1+Parâmetros!C11)*(1+Parâmetros!D11)+(G20*(1+Parâmetros!D11))))/3)*(1+Parâmetros!E11)</f>
        <v>0</v>
      </c>
      <c r="I20" s="124">
        <f>H20*(1+Parâmetros!F11)</f>
        <v>0</v>
      </c>
      <c r="J20" s="124">
        <f>I20*(1+Parâmetros!G11)</f>
        <v>0</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row>
    <row r="21" spans="1:178" s="8" customFormat="1" ht="12.75">
      <c r="A21" s="122" t="s">
        <v>211</v>
      </c>
      <c r="B21" s="406">
        <v>12210000</v>
      </c>
      <c r="C21" s="123" t="s">
        <v>212</v>
      </c>
      <c r="D21" s="59">
        <v>0</v>
      </c>
      <c r="E21" s="59">
        <v>0</v>
      </c>
      <c r="F21" s="59">
        <v>0</v>
      </c>
      <c r="G21" s="59">
        <v>0</v>
      </c>
      <c r="H21" s="124">
        <f>(((E21*(1+Parâmetros!B11)*(1+Parâmetros!C11)*(1+Parâmetros!D11))+(F21*(1+Parâmetros!C11)*(1+Parâmetros!D11)+(G21*(1+Parâmetros!D11))))/3)*(1+Parâmetros!E11)</f>
        <v>0</v>
      </c>
      <c r="I21" s="124">
        <f>H21*(1+Parâmetros!F11)</f>
        <v>0</v>
      </c>
      <c r="J21" s="124">
        <f>I21*(1+Parâmetros!G11)</f>
        <v>0</v>
      </c>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row>
    <row r="22" spans="1:178" s="8" customFormat="1" ht="12.75">
      <c r="A22" s="122" t="s">
        <v>213</v>
      </c>
      <c r="B22" s="406">
        <v>12415000</v>
      </c>
      <c r="C22" s="123" t="s">
        <v>214</v>
      </c>
      <c r="D22" s="59">
        <v>0</v>
      </c>
      <c r="E22" s="59">
        <v>0</v>
      </c>
      <c r="F22" s="59">
        <v>0</v>
      </c>
      <c r="G22" s="59">
        <v>0</v>
      </c>
      <c r="H22" s="124">
        <f>(((E22*(1+Parâmetros!B11)*(1+Parâmetros!C11)*(1+Parâmetros!D11))+(F22*(1+Parâmetros!C11)*(1+Parâmetros!D11)+(G22*(1+Parâmetros!D11))))/3)*(1+Parâmetros!E11)*(1+Parâmetros!E12)</f>
        <v>0</v>
      </c>
      <c r="I22" s="124">
        <f>H22*(1+Parâmetros!F11)*(1+Parâmetros!F12)</f>
        <v>0</v>
      </c>
      <c r="J22" s="124">
        <f>I22*(1+Parâmetros!G11)*(1+Parâmetros!G12)</f>
        <v>0</v>
      </c>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row>
    <row r="23" spans="1:178" s="8" customFormat="1" ht="12.75">
      <c r="A23" s="119" t="s">
        <v>215</v>
      </c>
      <c r="B23" s="408">
        <v>13000000</v>
      </c>
      <c r="C23" s="120" t="s">
        <v>216</v>
      </c>
      <c r="D23" s="121">
        <f aca="true" t="shared" si="5" ref="D23:J23">D24+D25+D31+D32+D33</f>
        <v>8167167.029999999</v>
      </c>
      <c r="E23" s="121">
        <f t="shared" si="5"/>
        <v>4950377.3</v>
      </c>
      <c r="F23" s="121">
        <f t="shared" si="5"/>
        <v>3549549.100000001</v>
      </c>
      <c r="G23" s="121">
        <f t="shared" si="5"/>
        <v>14024237.232857144</v>
      </c>
      <c r="H23" s="121">
        <f t="shared" si="5"/>
        <v>8809172.940656252</v>
      </c>
      <c r="I23" s="121">
        <f t="shared" si="5"/>
        <v>9270519.096919153</v>
      </c>
      <c r="J23" s="121">
        <f t="shared" si="5"/>
        <v>9737217.406296864</v>
      </c>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row>
    <row r="24" spans="1:178" s="8" customFormat="1" ht="12.75">
      <c r="A24" s="122" t="s">
        <v>217</v>
      </c>
      <c r="B24" s="406">
        <v>13110000</v>
      </c>
      <c r="C24" s="123" t="s">
        <v>218</v>
      </c>
      <c r="D24" s="431">
        <v>163888.81</v>
      </c>
      <c r="E24" s="431">
        <v>56402.76</v>
      </c>
      <c r="F24" s="59">
        <v>113509.66</v>
      </c>
      <c r="G24" s="59">
        <v>112300</v>
      </c>
      <c r="H24" s="124">
        <f>(((E24*(1+Parâmetros!B11)*(1+Parâmetros!C11)*(1+Parâmetros!D11))+(F24*(1+Parâmetros!C11)*(1+Parâmetros!D11)+(G24*(1+Parâmetros!D11))))/3)*(1+Parâmetros!E11)</f>
        <v>112094.03528926037</v>
      </c>
      <c r="I24" s="124">
        <f>H24*(1+Parâmetros!F11)</f>
        <v>116017.32652438448</v>
      </c>
      <c r="J24" s="124">
        <f>I24*(1+Parâmetros!G11)</f>
        <v>119497.84632011602</v>
      </c>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row>
    <row r="25" spans="1:178" s="61" customFormat="1" ht="15.75">
      <c r="A25" s="119" t="s">
        <v>219</v>
      </c>
      <c r="B25" s="408">
        <v>13200000</v>
      </c>
      <c r="C25" s="120" t="s">
        <v>220</v>
      </c>
      <c r="D25" s="121">
        <f aca="true" t="shared" si="6" ref="D25:J25">D26+D27+D28+D29+D30</f>
        <v>7947109.529999999</v>
      </c>
      <c r="E25" s="121">
        <f t="shared" si="6"/>
        <v>4619319.95</v>
      </c>
      <c r="F25" s="121">
        <f>F26+F27+F28+F29+F30</f>
        <v>3387575.7600000007</v>
      </c>
      <c r="G25" s="121">
        <f t="shared" si="6"/>
        <v>13852237.232857144</v>
      </c>
      <c r="H25" s="121">
        <f t="shared" si="6"/>
        <v>8537113.633612346</v>
      </c>
      <c r="I25" s="121">
        <f t="shared" si="6"/>
        <v>8986123.125172187</v>
      </c>
      <c r="J25" s="121">
        <f t="shared" si="6"/>
        <v>9440820.955305902</v>
      </c>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row>
    <row r="26" spans="1:178" ht="12.75">
      <c r="A26" s="122" t="s">
        <v>221</v>
      </c>
      <c r="B26" s="406">
        <v>13210100</v>
      </c>
      <c r="C26" s="123" t="s">
        <v>222</v>
      </c>
      <c r="D26" s="431">
        <v>109446.19</v>
      </c>
      <c r="E26" s="431">
        <v>72472.72</v>
      </c>
      <c r="F26" s="59">
        <v>380645.84</v>
      </c>
      <c r="G26" s="59">
        <f>(787848.26/7)*12</f>
        <v>1350597.0171428572</v>
      </c>
      <c r="H26" s="124">
        <f>(((E26*(1+Parâmetros!B11)*(1+Parâmetros!C11)*(1+Parâmetros!D11))+(F26*(1+Parâmetros!C11)*(1+Parâmetros!D11)+(G26*(1+Parâmetros!D11))))/3)*(1+Parâmetros!E11)*(1+Parâmetros!E12)</f>
        <v>690930.5462636603</v>
      </c>
      <c r="I26" s="124">
        <f>H26*(1+Parâmetros!F11)*(1+Parâmetros!F12)</f>
        <v>727270.0383443974</v>
      </c>
      <c r="J26" s="124">
        <f>I26*(1+Parâmetros!G11)*(1+Parâmetros!G12)</f>
        <v>764069.9022846239</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row>
    <row r="27" spans="1:178" ht="12.75">
      <c r="A27" s="122" t="s">
        <v>223</v>
      </c>
      <c r="B27" s="406">
        <v>13210100</v>
      </c>
      <c r="C27" s="123" t="s">
        <v>224</v>
      </c>
      <c r="D27" s="431">
        <v>671371.22</v>
      </c>
      <c r="E27" s="431">
        <v>328128.86</v>
      </c>
      <c r="F27" s="59">
        <v>1113296.25</v>
      </c>
      <c r="G27" s="59">
        <f>(2105199.16/7)*12</f>
        <v>3608912.845714286</v>
      </c>
      <c r="H27" s="124">
        <f>(((E27*(1+Parâmetros!B11)*(1+Parâmetros!C11)*(1+Parâmetros!D11))+(F27*(1+Parâmetros!C11)*(1+Parâmetros!D11)+(G27*(1+Parâmetros!D11))))/3)*(1+Parâmetros!E11)*(1+Parâmetros!E12)</f>
        <v>1943381.8321421556</v>
      </c>
      <c r="I27" s="124">
        <f>H27*(1+Parâmetros!F11)*(1+Parâmetros!F12)</f>
        <v>2045593.999603672</v>
      </c>
      <c r="J27" s="124">
        <f>I27*(1+Parâmetros!G11)*(1+Parâmetros!G12)</f>
        <v>2149101.055983618</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row>
    <row r="28" spans="1:178" ht="25.5">
      <c r="A28" s="122" t="s">
        <v>225</v>
      </c>
      <c r="B28" s="406">
        <v>13210400</v>
      </c>
      <c r="C28" s="123" t="s">
        <v>575</v>
      </c>
      <c r="D28" s="431">
        <v>7163458.1</v>
      </c>
      <c r="E28" s="431">
        <v>4216605.9</v>
      </c>
      <c r="F28" s="59">
        <f>4124162.49-2238259.82</f>
        <v>1885902.6700000004</v>
      </c>
      <c r="G28" s="59">
        <v>8870000</v>
      </c>
      <c r="H28" s="124">
        <f>(((E28*(1+Parâmetros!B11)*(1+Parâmetros!C11)*(1+Parâmetros!D11))+(F28*(1+Parâmetros!C11)*(1+Parâmetros!D11)+(G28*(1+Parâmetros!D11))))/3)*(1+Parâmetros!E11)*(1+Parâmetros!E12)</f>
        <v>5890247.455288881</v>
      </c>
      <c r="I28" s="124">
        <f>H28*(1+Parâmetros!F11)*(1+Parâmetros!F12)</f>
        <v>6200045.020199799</v>
      </c>
      <c r="J28" s="124">
        <f>I28*(1+Parâmetros!G11)*(1+Parâmetros!G12)</f>
        <v>6513767.298221909</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row>
    <row r="29" spans="1:178" ht="12.75">
      <c r="A29" s="122" t="s">
        <v>226</v>
      </c>
      <c r="B29" s="406">
        <v>13210500</v>
      </c>
      <c r="C29" s="123" t="s">
        <v>227</v>
      </c>
      <c r="D29" s="431">
        <v>0</v>
      </c>
      <c r="E29" s="431">
        <v>0</v>
      </c>
      <c r="F29" s="59">
        <v>0</v>
      </c>
      <c r="G29" s="59">
        <v>0</v>
      </c>
      <c r="H29" s="124">
        <f>(((E29*(1+Parâmetros!B11)*(1+Parâmetros!C11)*(1+Parâmetros!D11))+(F29*(1+Parâmetros!C11)*(1+Parâmetros!D11)+(G29*(1+Parâmetros!D11))))/3)*(1+Parâmetros!E11)*(1+Parâmetros!E12)</f>
        <v>0</v>
      </c>
      <c r="I29" s="124">
        <f>H29*(1+Parâmetros!F11)*(1+Parâmetros!F12)</f>
        <v>0</v>
      </c>
      <c r="J29" s="124">
        <f>I29*(1+Parâmetros!G11)*(1+Parâmetros!G12)</f>
        <v>0</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row>
    <row r="30" spans="1:178" ht="12.75">
      <c r="A30" s="122" t="s">
        <v>228</v>
      </c>
      <c r="B30" s="406">
        <v>13299900</v>
      </c>
      <c r="C30" s="123" t="s">
        <v>229</v>
      </c>
      <c r="D30" s="431">
        <v>2834.02</v>
      </c>
      <c r="E30" s="431">
        <v>2112.47</v>
      </c>
      <c r="F30" s="59">
        <v>7731</v>
      </c>
      <c r="G30" s="59">
        <v>22727.37</v>
      </c>
      <c r="H30" s="124">
        <f>(((E30*(1+Parâmetros!B11)*(1+Parâmetros!C11)*(1+Parâmetros!D11))+(F30*(1+Parâmetros!C11)*(1+Parâmetros!D11)+(G30*(1+Parâmetros!D11))))/3)*(1+Parâmetros!E11)*(1+Parâmetros!E12)</f>
        <v>12553.799917649878</v>
      </c>
      <c r="I30" s="124">
        <f>H30*(1+Parâmetros!F11)*(1+Parâmetros!F12)</f>
        <v>13214.067024318672</v>
      </c>
      <c r="J30" s="124">
        <f>I30*(1+Parâmetros!G11)*(1+Parâmetros!G12)</f>
        <v>13882.698815749198</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row>
    <row r="31" spans="1:178" ht="25.5">
      <c r="A31" s="122" t="s">
        <v>230</v>
      </c>
      <c r="B31" s="406">
        <v>13300000</v>
      </c>
      <c r="C31" s="123" t="s">
        <v>231</v>
      </c>
      <c r="D31" s="431">
        <v>56168.69</v>
      </c>
      <c r="E31" s="431">
        <v>48654.59</v>
      </c>
      <c r="F31" s="59">
        <v>48463.68</v>
      </c>
      <c r="G31" s="59">
        <v>59700</v>
      </c>
      <c r="H31" s="124">
        <f>(((E31*(1+Parâmetros!B11)*(1+Parâmetros!C11)*(1+Parâmetros!D11))+(F31*(1+Parâmetros!C11)*(1+Parâmetros!D11)+(G31*(1+Parâmetros!D11))))/3)*(1+Parâmetros!E11)*(1+Parâmetros!E12)</f>
        <v>63021.775273280684</v>
      </c>
      <c r="I31" s="124">
        <f>H31*(1+Parâmetros!F11)*(1+Parâmetros!F12)</f>
        <v>66336.40554377888</v>
      </c>
      <c r="J31" s="124">
        <f>I31*(1+Parâmetros!G11)*(1+Parâmetros!G12)</f>
        <v>69693.02766429409</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row>
    <row r="32" spans="1:178" ht="12.75">
      <c r="A32" s="122" t="s">
        <v>232</v>
      </c>
      <c r="B32" s="406">
        <v>13610000</v>
      </c>
      <c r="C32" s="123" t="s">
        <v>233</v>
      </c>
      <c r="D32" s="59">
        <v>0</v>
      </c>
      <c r="E32" s="431">
        <v>226000</v>
      </c>
      <c r="F32" s="59">
        <v>0</v>
      </c>
      <c r="G32" s="59">
        <v>0</v>
      </c>
      <c r="H32" s="124">
        <f>(((E32*(1+Parâmetros!B11)*(1+Parâmetros!C11)*(1+Parâmetros!D11))+(F32*(1+Parâmetros!C11)*(1+Parâmetros!D11)+(G32*(1+Parâmetros!D11))))/3)*(1+Parâmetros!E11)*(1+Parâmetros!E12)</f>
        <v>96943.49648136584</v>
      </c>
      <c r="I32" s="124">
        <f>H32*(1+Parâmetros!F11)*(1+Parâmetros!F12)</f>
        <v>102042.23967880326</v>
      </c>
      <c r="J32" s="124">
        <f>I32*(1+Parâmetros!G11)*(1+Parâmetros!G12)</f>
        <v>107205.57700655071</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row>
    <row r="33" spans="1:178" ht="12.75">
      <c r="A33" s="122" t="s">
        <v>234</v>
      </c>
      <c r="B33" s="406">
        <v>13900000</v>
      </c>
      <c r="C33" s="123" t="s">
        <v>235</v>
      </c>
      <c r="D33" s="59">
        <v>0</v>
      </c>
      <c r="E33" s="59">
        <v>0</v>
      </c>
      <c r="F33" s="59">
        <v>0</v>
      </c>
      <c r="G33" s="59">
        <v>0</v>
      </c>
      <c r="H33" s="124">
        <f>(((E33*(1+Parâmetros!B11)*(1+Parâmetros!C11)*(1+Parâmetros!D11))+(F33*(1+Parâmetros!C11)*(1+Parâmetros!D11)+(G33*(1+Parâmetros!D11))))/3)*(1+Parâmetros!E11)*(1+Parâmetros!E12)</f>
        <v>0</v>
      </c>
      <c r="I33" s="124">
        <f>H33*(1+Parâmetros!F11)*(1+Parâmetros!F12)</f>
        <v>0</v>
      </c>
      <c r="J33" s="124">
        <f>I33*(1+Parâmetros!G11)*(1+Parâmetros!G12)</f>
        <v>0</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row>
    <row r="34" spans="1:178" ht="12.75">
      <c r="A34" s="122" t="s">
        <v>236</v>
      </c>
      <c r="B34" s="406">
        <v>14110100</v>
      </c>
      <c r="C34" s="123" t="s">
        <v>237</v>
      </c>
      <c r="D34" s="59"/>
      <c r="E34" s="59"/>
      <c r="F34" s="59"/>
      <c r="G34" s="59"/>
      <c r="H34" s="124">
        <f>(((E34*(1+Parâmetros!B11)*(1+Parâmetros!C11)*(1+Parâmetros!D11))+(F34*(1+Parâmetros!C11)*(1+Parâmetros!D11)+(G34*(1+Parâmetros!D11))))/3)*(1+Parâmetros!E11)*(1+Parâmetros!E12)</f>
        <v>0</v>
      </c>
      <c r="I34" s="124">
        <f>H34*(1+Parâmetros!F11)*(1+Parâmetros!F12)</f>
        <v>0</v>
      </c>
      <c r="J34" s="124">
        <f>I34*(1+Parâmetros!G11)*(1+Parâmetros!G12)</f>
        <v>0</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row>
    <row r="35" spans="1:178" ht="12.75">
      <c r="A35" s="122" t="s">
        <v>266</v>
      </c>
      <c r="B35" s="406">
        <v>15110100</v>
      </c>
      <c r="C35" s="123" t="s">
        <v>267</v>
      </c>
      <c r="D35" s="59"/>
      <c r="E35" s="59"/>
      <c r="F35" s="59"/>
      <c r="G35" s="59"/>
      <c r="H35" s="124">
        <f>(((E35*(1+Parâmetros!B11)*(1+Parâmetros!C11)*(1+Parâmetros!D11))+(F35*(1+Parâmetros!C11)*(1+Parâmetros!D11)+(G35*(1+Parâmetros!D11))))/3)*(1+Parâmetros!E11)*(1+Parâmetros!E12)</f>
        <v>0</v>
      </c>
      <c r="I35" s="124">
        <f>H35*(1+Parâmetros!F11)*(1+Parâmetros!F12)</f>
        <v>0</v>
      </c>
      <c r="J35" s="124">
        <f>I35*(1+Parâmetros!G11)*(1+Parâmetros!G12)</f>
        <v>0</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row>
    <row r="36" spans="1:10" s="426" customFormat="1" ht="12.75">
      <c r="A36" s="175" t="s">
        <v>453</v>
      </c>
      <c r="B36" s="425">
        <v>16000000</v>
      </c>
      <c r="C36" s="176" t="s">
        <v>238</v>
      </c>
      <c r="D36" s="177">
        <f aca="true" t="shared" si="7" ref="D36:J36">D37+D38</f>
        <v>8307268.03</v>
      </c>
      <c r="E36" s="177">
        <f t="shared" si="7"/>
        <v>9589394.61</v>
      </c>
      <c r="F36" s="177">
        <f t="shared" si="7"/>
        <v>10011162.97</v>
      </c>
      <c r="G36" s="177">
        <f t="shared" si="7"/>
        <v>9988000</v>
      </c>
      <c r="H36" s="177">
        <f t="shared" si="7"/>
        <v>11946449.300033595</v>
      </c>
      <c r="I36" s="177">
        <f t="shared" si="7"/>
        <v>12574772.80096886</v>
      </c>
      <c r="J36" s="177">
        <f t="shared" si="7"/>
        <v>13211056.304697884</v>
      </c>
    </row>
    <row r="37" spans="1:178" ht="25.5">
      <c r="A37" s="174" t="s">
        <v>455</v>
      </c>
      <c r="B37" s="409" t="s">
        <v>652</v>
      </c>
      <c r="C37" s="123" t="s">
        <v>456</v>
      </c>
      <c r="D37" s="59"/>
      <c r="E37" s="59"/>
      <c r="F37" s="59"/>
      <c r="G37" s="59"/>
      <c r="H37" s="121">
        <f>(((E37*(1+Parâmetros!B11)*(1+Parâmetros!C11)*(1+Parâmetros!D11))+(F37*(1+Parâmetros!C11)*(1+Parâmetros!D11)+(G37*(1+Parâmetros!D11))))/3)*(1+Parâmetros!E11)</f>
        <v>0</v>
      </c>
      <c r="I37" s="124">
        <f>H37*(1+Parâmetros!F11)</f>
        <v>0</v>
      </c>
      <c r="J37" s="124">
        <f>I37*(1+Parâmetros!G11)</f>
        <v>0</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row>
    <row r="38" spans="1:178" ht="12.75">
      <c r="A38" s="122" t="s">
        <v>453</v>
      </c>
      <c r="B38" s="406">
        <v>16999900</v>
      </c>
      <c r="C38" s="123" t="s">
        <v>454</v>
      </c>
      <c r="D38" s="431">
        <v>8307268.03</v>
      </c>
      <c r="E38" s="431">
        <v>9589394.61</v>
      </c>
      <c r="F38" s="59">
        <v>10011162.97</v>
      </c>
      <c r="G38" s="59">
        <v>9988000</v>
      </c>
      <c r="H38" s="121">
        <f>(((E38*(1+Parâmetros!B11)*(1+Parâmetros!C11)*(1+Parâmetros!D11))+(F38*(1+Parâmetros!C11)*(1+Parâmetros!D11)+(G38*(1+Parâmetros!D11))))/3)*(1+Parâmetros!E11)*(1+Parâmetros!E12)</f>
        <v>11946449.300033595</v>
      </c>
      <c r="I38" s="121">
        <f>H38*(1+Parâmetros!F11)*(1+Parâmetros!F12)</f>
        <v>12574772.80096886</v>
      </c>
      <c r="J38" s="121">
        <f>I38*(1+Parâmetros!G11)*(1+Parâmetros!G12)</f>
        <v>13211056.304697884</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row>
    <row r="39" spans="1:178" s="7" customFormat="1" ht="12.75">
      <c r="A39" s="119" t="s">
        <v>239</v>
      </c>
      <c r="B39" s="408">
        <v>17000000</v>
      </c>
      <c r="C39" s="120" t="s">
        <v>240</v>
      </c>
      <c r="D39" s="121">
        <f aca="true" t="shared" si="8" ref="D39:J39">D40+D52+D62+D63+D64+D65+D66</f>
        <v>61088962.31</v>
      </c>
      <c r="E39" s="121">
        <f t="shared" si="8"/>
        <v>66935541.15</v>
      </c>
      <c r="F39" s="121">
        <f t="shared" si="8"/>
        <v>80901682.14999999</v>
      </c>
      <c r="G39" s="121">
        <f t="shared" si="8"/>
        <v>83551390.09</v>
      </c>
      <c r="H39" s="121">
        <f t="shared" si="8"/>
        <v>96429106.74771823</v>
      </c>
      <c r="I39" s="121">
        <f t="shared" si="8"/>
        <v>101552967.87327825</v>
      </c>
      <c r="J39" s="121">
        <f t="shared" si="8"/>
        <v>107396040.96698497</v>
      </c>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row>
    <row r="40" spans="1:178" s="7" customFormat="1" ht="12.75">
      <c r="A40" s="119" t="s">
        <v>241</v>
      </c>
      <c r="B40" s="408">
        <v>17100000</v>
      </c>
      <c r="C40" s="120" t="s">
        <v>242</v>
      </c>
      <c r="D40" s="121">
        <f aca="true" t="shared" si="9" ref="D40:J40">D41+D42+D43+D44+D45+D46+D47+D48+D49+D50+D51</f>
        <v>24967522.02</v>
      </c>
      <c r="E40" s="121">
        <f t="shared" si="9"/>
        <v>29431549.14</v>
      </c>
      <c r="F40" s="121">
        <f t="shared" si="9"/>
        <v>31447955.459999997</v>
      </c>
      <c r="G40" s="121">
        <f t="shared" si="9"/>
        <v>37462414.11285715</v>
      </c>
      <c r="H40" s="121">
        <f t="shared" si="9"/>
        <v>41413312.2570796</v>
      </c>
      <c r="I40" s="121">
        <f t="shared" si="9"/>
        <v>43950373.45614563</v>
      </c>
      <c r="J40" s="121">
        <f t="shared" si="9"/>
        <v>47777797.45019897</v>
      </c>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row>
    <row r="41" spans="1:178" ht="12.75">
      <c r="A41" s="122" t="s">
        <v>243</v>
      </c>
      <c r="B41" s="406">
        <v>17115110</v>
      </c>
      <c r="C41" s="123" t="s">
        <v>244</v>
      </c>
      <c r="D41" s="431">
        <v>18779751.87</v>
      </c>
      <c r="E41" s="431">
        <v>17859971.96</v>
      </c>
      <c r="F41" s="59">
        <v>24079985.21</v>
      </c>
      <c r="G41" s="59">
        <f>(17661641.02/7)*12</f>
        <v>30277098.891428575</v>
      </c>
      <c r="H41" s="124">
        <f>(((E41*(1+Parâmetros!B11)*(1+Parâmetros!C11)*(1+Parâmetros!D11))+(F41*(1+Parâmetros!C11)*(1+Parâmetros!D11)+(G41*(1+Parâmetros!D11))))/3)*(1+Parâmetros!E11)*(1+Parâmetros!E16)</f>
        <v>30595762.150262244</v>
      </c>
      <c r="I41" s="124">
        <f>H41*(1+Parâmetros!F11)*(1+Parâmetros!F16)</f>
        <v>32649140.89960893</v>
      </c>
      <c r="J41" s="124">
        <f>I41*(1+Parâmetros!G11)*(1+Parâmetros!G16)</f>
        <v>35895151.963326275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row>
    <row r="42" spans="1:178" ht="25.5">
      <c r="A42" s="122" t="s">
        <v>245</v>
      </c>
      <c r="B42" s="406">
        <v>17115120</v>
      </c>
      <c r="C42" s="123" t="s">
        <v>246</v>
      </c>
      <c r="D42" s="431">
        <v>827618.22</v>
      </c>
      <c r="E42" s="431">
        <v>803705.33</v>
      </c>
      <c r="F42" s="59">
        <v>1055455.15</v>
      </c>
      <c r="G42" s="59">
        <v>980000</v>
      </c>
      <c r="H42" s="124">
        <f>(((E42*(1+Parâmetros!B11)*(1+Parâmetros!C11)*(1+Parâmetros!D11))+(F42*(1+Parâmetros!C11)*(1+Parâmetros!D11)+(G42*(1+Parâmetros!D11))))/3)*(1+Parâmetros!E11)*(1+Parâmetros!E16)</f>
        <v>1213220.8008665063</v>
      </c>
      <c r="I42" s="124">
        <f>H42*(1+Parâmetros!F11)*(1+Parâmetros!F16)</f>
        <v>1294643.9011811784</v>
      </c>
      <c r="J42" s="124">
        <f>I42*(1+Parâmetros!G11)*(1+Parâmetros!G16)</f>
        <v>1423358.7252474567</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row>
    <row r="43" spans="1:178" ht="25.5">
      <c r="A43" s="122" t="s">
        <v>247</v>
      </c>
      <c r="B43" s="406">
        <v>17115130</v>
      </c>
      <c r="C43" s="123" t="s">
        <v>248</v>
      </c>
      <c r="D43" s="431">
        <v>797041.59</v>
      </c>
      <c r="E43" s="431">
        <v>805418.85</v>
      </c>
      <c r="F43" s="59">
        <v>932333.72</v>
      </c>
      <c r="G43" s="59">
        <v>1233402.36</v>
      </c>
      <c r="H43" s="124">
        <f>(((E43*(1+Parâmetros!B11)*(1+Parâmetros!C11)*(1+Parâmetros!D11))+(F43*(1+Parâmetros!C11)*(1+Parâmetros!D11)+(G43*(1+Parâmetros!D11))))/3)*(1+Parâmetros!E11)*(1+Parâmetros!E16)</f>
        <v>1260649.2870630275</v>
      </c>
      <c r="I43" s="124">
        <f>H43*(1+Parâmetros!F11)*(1+Parâmetros!F16)</f>
        <v>1345255.463687135</v>
      </c>
      <c r="J43" s="124">
        <f>I43*(1+Parâmetros!G11)*(1+Parâmetros!G16)</f>
        <v>1479002.1411902772</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row>
    <row r="44" spans="1:178" ht="12.75">
      <c r="A44" s="122" t="s">
        <v>249</v>
      </c>
      <c r="B44" s="406">
        <v>17115200</v>
      </c>
      <c r="C44" s="123" t="s">
        <v>250</v>
      </c>
      <c r="D44" s="431">
        <v>9994.9</v>
      </c>
      <c r="E44" s="431">
        <v>10753.7</v>
      </c>
      <c r="F44" s="59">
        <v>12750.74</v>
      </c>
      <c r="G44" s="59">
        <v>8000</v>
      </c>
      <c r="H44" s="124">
        <f>(((E44*(1+Parâmetros!B11)*(1+Parâmetros!C11)*(1+Parâmetros!D11))+(F44*(1+Parâmetros!C11)*(1+Parâmetros!D11)+(G44*(1+Parâmetros!D11))))/3)*(1+Parâmetros!E11)*(1+Parâmetros!E16)</f>
        <v>13612.922765069947</v>
      </c>
      <c r="I44" s="124">
        <f>H44*(1+Parâmetros!F11)*(1+Parâmetros!F16)</f>
        <v>14526.529237267363</v>
      </c>
      <c r="J44" s="124">
        <f>I44*(1+Parâmetros!G11)*(1+Parâmetros!G16)</f>
        <v>15970.771668226647</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row>
    <row r="45" spans="1:178" ht="12.75">
      <c r="A45" s="122" t="s">
        <v>251</v>
      </c>
      <c r="B45" s="406">
        <v>17120000</v>
      </c>
      <c r="C45" s="123" t="s">
        <v>252</v>
      </c>
      <c r="D45" s="431">
        <v>288949.16</v>
      </c>
      <c r="E45" s="431">
        <v>302460.21</v>
      </c>
      <c r="F45" s="59">
        <v>468868.93</v>
      </c>
      <c r="G45" s="59">
        <f>((406820.61/7)*12)+420851.23</f>
        <v>1118257.99</v>
      </c>
      <c r="H45" s="124">
        <f>(((E45*(1+Parâmetros!B11)*(1+Parâmetros!C11)*(1+Parâmetros!D11))+(F45*(1+Parâmetros!C11)*(1+Parâmetros!D11)+(G45*(1+Parâmetros!D11))))/3)*(1+Parâmetros!E11)*(1+Parâmetros!E16)</f>
        <v>784326.610194292</v>
      </c>
      <c r="I45" s="124">
        <f>H45*(1+Parâmetros!F11)*(1+Parâmetros!F16)</f>
        <v>836965.2594951488</v>
      </c>
      <c r="J45" s="124">
        <f>I45*(1+Parâmetros!G11)*(1+Parâmetros!G16)</f>
        <v>920177.203742688</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row>
    <row r="46" spans="1:178" ht="25.5">
      <c r="A46" s="122" t="s">
        <v>253</v>
      </c>
      <c r="B46" s="406">
        <v>17130000</v>
      </c>
      <c r="C46" s="123" t="s">
        <v>254</v>
      </c>
      <c r="D46" s="431">
        <v>1218795.53</v>
      </c>
      <c r="E46" s="431">
        <v>2798760.52</v>
      </c>
      <c r="F46" s="59">
        <v>2545768.18</v>
      </c>
      <c r="G46" s="59">
        <v>1440376.98</v>
      </c>
      <c r="H46" s="124">
        <f>(((E46*(1+Parâmetros!B11)*(1+Parâmetros!C11)*(1+Parâmetros!D11))+(F46*(1+Parâmetros!C11)*(1+Parâmetros!D11)+(G46*(1+Parâmetros!D11))))/3)*(1+Parâmetros!E11)</f>
        <v>2768589.796435924</v>
      </c>
      <c r="I46" s="124">
        <f>H46*(1+Parâmetros!F11)</f>
        <v>2865490.4393111807</v>
      </c>
      <c r="J46" s="124">
        <f>I46*(1+Parâmetros!G11)</f>
        <v>2951455.152490516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row>
    <row r="47" spans="1:178" ht="12.75">
      <c r="A47" s="122" t="s">
        <v>624</v>
      </c>
      <c r="B47" s="406">
        <v>17165000</v>
      </c>
      <c r="C47" s="123" t="s">
        <v>255</v>
      </c>
      <c r="D47" s="431">
        <v>182728.2</v>
      </c>
      <c r="E47" s="431">
        <v>211021.98</v>
      </c>
      <c r="F47" s="59">
        <v>78032.3</v>
      </c>
      <c r="G47" s="59">
        <v>75000</v>
      </c>
      <c r="H47" s="124">
        <f>(((E47*(1+Parâmetros!B11)*(1+Parâmetros!C11)*(1+Parâmetros!D11))+(F47*(1+Parâmetros!C11)*(1+Parâmetros!D11)+(G47*(1+Parâmetros!D11))))/3)*(1+Parâmetros!E11)</f>
        <v>149761.31674261478</v>
      </c>
      <c r="I47" s="124">
        <f>H47*(1+Parâmetros!F11)</f>
        <v>155002.96282860628</v>
      </c>
      <c r="J47" s="124">
        <f>I47*(1+Parâmetros!G11)</f>
        <v>159653.05171346446</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row>
    <row r="48" spans="1:178" ht="25.5">
      <c r="A48" s="122" t="s">
        <v>256</v>
      </c>
      <c r="B48" s="406">
        <v>17140000</v>
      </c>
      <c r="C48" s="123" t="s">
        <v>257</v>
      </c>
      <c r="D48" s="431">
        <v>1688782.28</v>
      </c>
      <c r="E48" s="431">
        <v>1833496.02</v>
      </c>
      <c r="F48" s="59">
        <v>1974912.59</v>
      </c>
      <c r="G48" s="59">
        <f>(1273578.77/7)*12</f>
        <v>2183277.891428571</v>
      </c>
      <c r="H48" s="124">
        <f>(((E48*(1+Parâmetros!B11)*(1+Parâmetros!C11)*(1+Parâmetros!D11))+(F48*(1+Parâmetros!C11)*(1+Parâmetros!D11)+(G48*(1+Parâmetros!D11))))/3)*(1+Parâmetros!E11)</f>
        <v>2399123.204744483</v>
      </c>
      <c r="I48" s="124">
        <f>H48*(1+Parâmetros!F11)</f>
        <v>2483092.5169105395</v>
      </c>
      <c r="J48" s="124">
        <f>I48*(1+Parâmetros!G11)</f>
        <v>2557585.292417856</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row>
    <row r="49" spans="1:178" ht="12.75">
      <c r="A49" s="122" t="s">
        <v>258</v>
      </c>
      <c r="B49" s="406">
        <v>17195100</v>
      </c>
      <c r="C49" s="123" t="s">
        <v>259</v>
      </c>
      <c r="D49" s="431">
        <v>0</v>
      </c>
      <c r="E49" s="431">
        <v>0</v>
      </c>
      <c r="F49" s="59">
        <v>0</v>
      </c>
      <c r="G49" s="59">
        <v>0</v>
      </c>
      <c r="H49" s="124">
        <f>(((E49*(1+Parâmetros!B11)*(1+Parâmetros!C11)*(1+Parâmetros!D11))+(F49*(1+Parâmetros!C11)*(1+Parâmetros!D11)+(G49*(1+Parâmetros!D11))))/3)*(1+Parâmetros!E11)*(1+Parâmetros!E16)</f>
        <v>0</v>
      </c>
      <c r="I49" s="124">
        <f>H49*(1+Parâmetros!F11)*(1+Parâmetros!F16)</f>
        <v>0</v>
      </c>
      <c r="J49" s="124">
        <f>I49*(1+Parâmetros!G11)*(1+Parâmetros!G16)</f>
        <v>0</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row>
    <row r="50" spans="1:178" ht="12.75">
      <c r="A50" s="122" t="s">
        <v>260</v>
      </c>
      <c r="B50" s="406">
        <v>17170000</v>
      </c>
      <c r="C50" s="123" t="s">
        <v>261</v>
      </c>
      <c r="D50" s="431">
        <v>193275</v>
      </c>
      <c r="E50" s="431">
        <v>0</v>
      </c>
      <c r="F50" s="59">
        <v>0</v>
      </c>
      <c r="G50" s="59">
        <v>0</v>
      </c>
      <c r="H50" s="124">
        <f>(((E50*(1+Parâmetros!B11)*(1+Parâmetros!C11)*(1+Parâmetros!D11))+(F50*(1+Parâmetros!C11)*(1+Parâmetros!D11)+(G50*(1+Parâmetros!D11))))/3)*(1+Parâmetros!E11)</f>
        <v>0</v>
      </c>
      <c r="I50" s="124">
        <f>H50*(1+Parâmetros!F11)</f>
        <v>0</v>
      </c>
      <c r="J50" s="124">
        <f>I50*(1+Parâmetros!G11)</f>
        <v>0</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row>
    <row r="51" spans="1:178" ht="12.75">
      <c r="A51" s="122" t="s">
        <v>573</v>
      </c>
      <c r="B51" s="406">
        <v>17190000</v>
      </c>
      <c r="C51" s="123" t="s">
        <v>574</v>
      </c>
      <c r="D51" s="431">
        <v>980585.27</v>
      </c>
      <c r="E51" s="431">
        <f>4805948.77+11.8</f>
        <v>4805960.569999999</v>
      </c>
      <c r="F51" s="59">
        <v>299848.64</v>
      </c>
      <c r="G51" s="59">
        <v>147000</v>
      </c>
      <c r="H51" s="124">
        <f>(((E51*(1+Parâmetros!B11)*(1+Parâmetros!C11)*(1+Parâmetros!D11))+(F51*(1+Parâmetros!C11)*(1+Parâmetros!D11)+(G51*(1+Parâmetros!D11))))/3)*(1+Parâmetros!E11)</f>
        <v>2228266.1680054464</v>
      </c>
      <c r="I51" s="124">
        <f>H51*(1+Parâmetros!F11)</f>
        <v>2306255.483885637</v>
      </c>
      <c r="J51" s="124">
        <f>I51*(1+Parâmetros!G11)</f>
        <v>2375443.148402206</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row>
    <row r="52" spans="1:178" s="7" customFormat="1" ht="12.75">
      <c r="A52" s="119" t="s">
        <v>262</v>
      </c>
      <c r="B52" s="406">
        <v>17200000</v>
      </c>
      <c r="C52" s="120" t="s">
        <v>263</v>
      </c>
      <c r="D52" s="121">
        <f aca="true" t="shared" si="10" ref="D52:J52">D53+D54+D55+D56+D57+D58+D59+D60+D61</f>
        <v>19726214.040000003</v>
      </c>
      <c r="E52" s="121">
        <f t="shared" si="10"/>
        <v>20445052.949999996</v>
      </c>
      <c r="F52" s="121">
        <f t="shared" si="10"/>
        <v>26393611.819999997</v>
      </c>
      <c r="G52" s="121">
        <f t="shared" si="10"/>
        <v>24288975.977142856</v>
      </c>
      <c r="H52" s="121">
        <f t="shared" si="10"/>
        <v>28593343.560323995</v>
      </c>
      <c r="I52" s="121">
        <f t="shared" si="10"/>
        <v>29411857.227358952</v>
      </c>
      <c r="J52" s="121">
        <f t="shared" si="10"/>
        <v>28635960.06752798</v>
      </c>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row>
    <row r="53" spans="1:178" ht="12.75">
      <c r="A53" s="122" t="s">
        <v>264</v>
      </c>
      <c r="B53" s="406">
        <v>17215000</v>
      </c>
      <c r="C53" s="123" t="s">
        <v>265</v>
      </c>
      <c r="D53" s="431">
        <v>14859130.15</v>
      </c>
      <c r="E53" s="431">
        <v>15012331.96</v>
      </c>
      <c r="F53" s="59">
        <v>19427528.13</v>
      </c>
      <c r="G53" s="59">
        <f>(10064432.67/7)*12</f>
        <v>17253313.148571428</v>
      </c>
      <c r="H53" s="124">
        <f>(((E53*(1+Parâmetros!B11)*(1+Parâmetros!C11)*(1+Parâmetros!D11))+(F53*(1+Parâmetros!C11)*(1+Parâmetros!D11)+(G53*(1+Parâmetros!D11))))/3)*(1+Parâmetros!E11)*(1+Parâmetros!E17)</f>
        <v>20800358.566719692</v>
      </c>
      <c r="I53" s="124">
        <f>H53*(1+Parâmetros!F11)*(1+Parâmetros!F17)</f>
        <v>21391290.95866952</v>
      </c>
      <c r="J53" s="124">
        <f>I53*(1+Parâmetros!G11)*(1+Parâmetros!G17)</f>
        <v>20785790.29953517</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row>
    <row r="54" spans="1:178" ht="12.75">
      <c r="A54" s="122" t="s">
        <v>268</v>
      </c>
      <c r="B54" s="406">
        <v>17215100</v>
      </c>
      <c r="C54" s="123" t="s">
        <v>269</v>
      </c>
      <c r="D54" s="431">
        <v>4328946.73</v>
      </c>
      <c r="E54" s="431">
        <v>4519069</v>
      </c>
      <c r="F54" s="59">
        <v>5706727.41</v>
      </c>
      <c r="G54" s="59">
        <v>6225000</v>
      </c>
      <c r="H54" s="124">
        <f>(((E54*(1+Parâmetros!B11)*(1+Parâmetros!C11)*(1+Parâmetros!D11))+(F54*(1+Parâmetros!C11)*(1+Parâmetros!D11)+(G54*(1+Parâmetros!D11))))/3)*(1+Parâmetros!E11)*(1+Parâmetros!E17)</f>
        <v>6587221.153575679</v>
      </c>
      <c r="I54" s="124">
        <f>H54*(1+Parâmetros!F11)*(1+Parâmetros!F17)</f>
        <v>6774362.271364538</v>
      </c>
      <c r="J54" s="124">
        <f>I54*(1+Parâmetros!G11)*(1+Parâmetros!G17)</f>
        <v>6582607.560138768</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row>
    <row r="55" spans="1:178" ht="12.75">
      <c r="A55" s="122" t="s">
        <v>270</v>
      </c>
      <c r="B55" s="406">
        <v>17215200</v>
      </c>
      <c r="C55" s="123" t="s">
        <v>271</v>
      </c>
      <c r="D55" s="431">
        <v>220331.33</v>
      </c>
      <c r="E55" s="431">
        <v>213812.98</v>
      </c>
      <c r="F55" s="59">
        <v>209494.46</v>
      </c>
      <c r="G55" s="59">
        <f>(104540.49/7)*12</f>
        <v>179212.26857142858</v>
      </c>
      <c r="H55" s="124">
        <f>(((E55*(1+Parâmetros!B11)*(1+Parâmetros!C11)*(1+Parâmetros!D11))+(F55*(1+Parâmetros!C11)*(1+Parâmetros!D11)+(G55*(1+Parâmetros!D11))))/3)*(1+Parâmetros!E11)*(1+Parâmetros!E17)</f>
        <v>243980.59697082883</v>
      </c>
      <c r="I55" s="124">
        <f>H55*(1+Parâmetros!F11)*(1+Parâmetros!F17)</f>
        <v>250912.0177583531</v>
      </c>
      <c r="J55" s="124">
        <f>I55*(1+Parâmetros!G11)*(1+Parâmetros!G17)</f>
        <v>243809.71652599858</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row>
    <row r="56" spans="1:178" ht="12.75">
      <c r="A56" s="122" t="s">
        <v>272</v>
      </c>
      <c r="B56" s="406">
        <v>17215300</v>
      </c>
      <c r="C56" s="123" t="s">
        <v>273</v>
      </c>
      <c r="D56" s="431">
        <v>25542.39</v>
      </c>
      <c r="E56" s="431">
        <v>22320.06</v>
      </c>
      <c r="F56" s="59">
        <v>14455.71</v>
      </c>
      <c r="G56" s="59">
        <v>21087.47</v>
      </c>
      <c r="H56" s="124">
        <f>(((E56*(1+Parâmetros!B11)*(1+Parâmetros!C11)*(1+Parâmetros!D11))+(F56*(1+Parâmetros!C11)*(1+Parâmetros!D11)+(G56*(1+Parâmetros!D11))))/3)*(1+Parâmetros!E11)*(1+Parâmetros!E17)</f>
        <v>23318.740778690546</v>
      </c>
      <c r="I56" s="124">
        <f>H56*(1+Parâmetros!F11)*(1+Parâmetros!F17)</f>
        <v>23981.21970766714</v>
      </c>
      <c r="J56" s="124">
        <f>I56*(1+Parâmetros!G11)*(1+Parâmetros!G17)</f>
        <v>23302.408673405876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row>
    <row r="57" spans="1:178" ht="12.75">
      <c r="A57" s="122" t="s">
        <v>274</v>
      </c>
      <c r="B57" s="406">
        <v>17219800</v>
      </c>
      <c r="C57" s="123" t="s">
        <v>275</v>
      </c>
      <c r="D57" s="431">
        <v>0</v>
      </c>
      <c r="E57" s="431"/>
      <c r="F57" s="59">
        <v>0</v>
      </c>
      <c r="G57" s="59">
        <v>0</v>
      </c>
      <c r="H57" s="124">
        <f>(((E57*(1+Parâmetros!B11)*(1+Parâmetros!C11)*(1+Parâmetros!D11))+(F57*(1+Parâmetros!C11)*(1+Parâmetros!D11)+(G57*(1+Parâmetros!D11))))/3)*(1+Parâmetros!E11)</f>
        <v>0</v>
      </c>
      <c r="I57" s="124">
        <f>H57*(1+Parâmetros!F11)</f>
        <v>0</v>
      </c>
      <c r="J57" s="124">
        <f>I57*(1+Parâmetros!G11)</f>
        <v>0</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row>
    <row r="58" spans="1:178" ht="12.75">
      <c r="A58" s="122" t="s">
        <v>276</v>
      </c>
      <c r="B58" s="406">
        <v>17299900</v>
      </c>
      <c r="C58" s="123" t="s">
        <v>277</v>
      </c>
      <c r="D58" s="431">
        <v>0</v>
      </c>
      <c r="E58" s="431"/>
      <c r="F58" s="59">
        <v>0</v>
      </c>
      <c r="G58" s="59">
        <v>0</v>
      </c>
      <c r="H58" s="124">
        <f>(((E58*(1+Parâmetros!B11)*(1+Parâmetros!C11)*(1+Parâmetros!D11))+(F58*(1+Parâmetros!C11)*(1+Parâmetros!D11)+(G58*(1+Parâmetros!D11))))/3)*(1+Parâmetros!E11)</f>
        <v>0</v>
      </c>
      <c r="I58" s="124">
        <f>H58*(1+Parâmetros!F11)</f>
        <v>0</v>
      </c>
      <c r="J58" s="124">
        <f>I58*(1+Parâmetros!G11)</f>
        <v>0</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row>
    <row r="59" spans="1:178" ht="25.5">
      <c r="A59" s="122" t="s">
        <v>278</v>
      </c>
      <c r="B59" s="406">
        <v>17235000</v>
      </c>
      <c r="C59" s="123" t="s">
        <v>279</v>
      </c>
      <c r="D59" s="431">
        <v>216835.32</v>
      </c>
      <c r="E59" s="431">
        <v>554480.24</v>
      </c>
      <c r="F59" s="59">
        <v>987822.15</v>
      </c>
      <c r="G59" s="59">
        <v>536332.43</v>
      </c>
      <c r="H59" s="124">
        <f>(((E59*(1+Parâmetros!B11)*(1+Parâmetros!C11)*(1+Parâmetros!D11))+(F59*(1+Parâmetros!C11)*(1+Parâmetros!D11)+(G59*(1+Parâmetros!D11))))/3)*(1+Parâmetros!E11)</f>
        <v>839049.7432493607</v>
      </c>
      <c r="I59" s="124">
        <f>H59*(1+Parâmetros!F11)</f>
        <v>868416.4842630882</v>
      </c>
      <c r="J59" s="124">
        <f>I59*(1+Parâmetros!G11)</f>
        <v>894468.9787909809</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row>
    <row r="60" spans="1:178" ht="12.75">
      <c r="A60" s="122" t="s">
        <v>280</v>
      </c>
      <c r="B60" s="406">
        <v>17240000</v>
      </c>
      <c r="C60" s="123" t="s">
        <v>281</v>
      </c>
      <c r="D60" s="431">
        <v>66360.82</v>
      </c>
      <c r="E60" s="431">
        <v>84299.9</v>
      </c>
      <c r="F60" s="59">
        <v>32026.83</v>
      </c>
      <c r="G60" s="59">
        <v>51795.63</v>
      </c>
      <c r="H60" s="124">
        <f>(((E60*(1+Parâmetros!B11)*(1+Parâmetros!C11)*(1+Parâmetros!D11))+(F60*(1+Parâmetros!C11)*(1+Parâmetros!D11)+(G60*(1+Parâmetros!D11))))/3)*(1+Parâmetros!E11)</f>
        <v>68277.36781683772</v>
      </c>
      <c r="I60" s="124">
        <f>H60*(1+Parâmetros!F11)</f>
        <v>70667.07569042704</v>
      </c>
      <c r="J60" s="124">
        <f>I60*(1+Parâmetros!G11)</f>
        <v>72787.08796113986</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row>
    <row r="61" spans="1:178" ht="12.75">
      <c r="A61" s="122" t="s">
        <v>282</v>
      </c>
      <c r="B61" s="406">
        <v>17290000</v>
      </c>
      <c r="C61" s="123" t="s">
        <v>277</v>
      </c>
      <c r="D61" s="431">
        <v>9067.3</v>
      </c>
      <c r="E61" s="431">
        <v>38738.81</v>
      </c>
      <c r="F61" s="59">
        <v>15557.13</v>
      </c>
      <c r="G61" s="59">
        <v>22235.03</v>
      </c>
      <c r="H61" s="124">
        <f>(((E61*(1+Parâmetros!B11)*(1+Parâmetros!C11)*(1+Parâmetros!D11))+(F61*(1+Parâmetros!C11)*(1+Parâmetros!D11)+(G61*(1+Parâmetros!D11))))/3)*(1+Parâmetros!E11)</f>
        <v>31137.391212904167</v>
      </c>
      <c r="I61" s="124">
        <f>H61*(1+Parâmetros!F11)</f>
        <v>32227.19990535581</v>
      </c>
      <c r="J61" s="124">
        <f>I61*(1+Parâmetros!G11)</f>
        <v>33194.01590251648</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row>
    <row r="62" spans="1:178" ht="12.75">
      <c r="A62" s="122" t="s">
        <v>283</v>
      </c>
      <c r="B62" s="406">
        <v>17300000</v>
      </c>
      <c r="C62" s="123" t="s">
        <v>284</v>
      </c>
      <c r="D62" s="431">
        <v>0</v>
      </c>
      <c r="E62" s="431">
        <v>0</v>
      </c>
      <c r="F62" s="59">
        <v>0</v>
      </c>
      <c r="G62" s="59">
        <v>0</v>
      </c>
      <c r="H62" s="124">
        <f>(((E62*(1+Parâmetros!B11)*(1+Parâmetros!C11)*(1+Parâmetros!D11))+(F62*(1+Parâmetros!C11)*(1+Parâmetros!D11)+(G62*(1+Parâmetros!D11))))/3)*(1+Parâmetros!E11)</f>
        <v>0</v>
      </c>
      <c r="I62" s="124">
        <f>H62*(1+Parâmetros!F11)</f>
        <v>0</v>
      </c>
      <c r="J62" s="124">
        <f>I62*(1+Parâmetros!G11)</f>
        <v>0</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row>
    <row r="63" spans="1:178" ht="12.75">
      <c r="A63" s="122" t="s">
        <v>285</v>
      </c>
      <c r="B63" s="406">
        <v>17400000</v>
      </c>
      <c r="C63" s="123" t="s">
        <v>286</v>
      </c>
      <c r="D63" s="431">
        <v>87900</v>
      </c>
      <c r="E63" s="431">
        <v>92346.3</v>
      </c>
      <c r="F63" s="59">
        <v>14362</v>
      </c>
      <c r="G63" s="59">
        <v>20000</v>
      </c>
      <c r="H63" s="124">
        <f>(((E63*(1+Parâmetros!B11)*(1+Parâmetros!C11)*(1+Parâmetros!D11))+(F63*(1+Parâmetros!C11)*(1+Parâmetros!D11)+(G63*(1+Parâmetros!D11))))/3)*(1+Parâmetros!E11)</f>
        <v>52700.78921789686</v>
      </c>
      <c r="I63" s="124">
        <f>H63*(1+Parâmetros!F11)</f>
        <v>54545.31684052325</v>
      </c>
      <c r="J63" s="124">
        <f>I63*(1+Parâmetros!G11)</f>
        <v>56181.676345738946</v>
      </c>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row>
    <row r="64" spans="1:178" ht="12.75">
      <c r="A64" s="122" t="s">
        <v>374</v>
      </c>
      <c r="B64" s="406">
        <v>17515000</v>
      </c>
      <c r="C64" s="123" t="s">
        <v>375</v>
      </c>
      <c r="D64" s="431">
        <v>16203480.81</v>
      </c>
      <c r="E64" s="434">
        <v>16891045.41</v>
      </c>
      <c r="F64" s="59">
        <v>22944544.02</v>
      </c>
      <c r="G64" s="59">
        <v>21700000</v>
      </c>
      <c r="H64" s="124">
        <f>(((E64*(1+Parâmetros!B11)*(1+Parâmetros!C11)*(1+Parâmetros!D11))+(F64*(1+Parâmetros!C11)*(1+Parâmetros!D11)+(G64*(1+Parâmetros!D11))))/3)*(1+Parâmetros!E11)*(1+Parâmetros!E16)</f>
        <v>26266492.441211473</v>
      </c>
      <c r="I64" s="124">
        <f>H64*(1+Parâmetros!F11)*(1+Parâmetros!F16)</f>
        <v>28029320.153551914</v>
      </c>
      <c r="J64" s="124">
        <f>I64*(1+Parâmetros!G11)*(1+Parâmetros!G16)</f>
        <v>30816023.90194962</v>
      </c>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row>
    <row r="65" spans="1:178" ht="12.75">
      <c r="A65" s="122" t="s">
        <v>288</v>
      </c>
      <c r="B65" s="406">
        <v>17610000</v>
      </c>
      <c r="C65" s="123" t="s">
        <v>289</v>
      </c>
      <c r="D65" s="431">
        <v>0</v>
      </c>
      <c r="E65" s="431"/>
      <c r="F65" s="59"/>
      <c r="G65" s="59"/>
      <c r="H65" s="124">
        <f>(((E65*(1+Parâmetros!B11)*(1+Parâmetros!C11)*(1+Parâmetros!D11))+(F65*(1+Parâmetros!C11)*(1+Parâmetros!D11)+(G65*(1+Parâmetros!D11))))/3)*(1+Parâmetros!E11)</f>
        <v>0</v>
      </c>
      <c r="I65" s="124">
        <f>H65*(1+Parâmetros!F11)</f>
        <v>0</v>
      </c>
      <c r="J65" s="124">
        <f>I65*(1+Parâmetros!G11)</f>
        <v>0</v>
      </c>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row>
    <row r="66" spans="1:178" ht="12.75">
      <c r="A66" s="122" t="s">
        <v>290</v>
      </c>
      <c r="B66" s="406">
        <v>17910000</v>
      </c>
      <c r="C66" s="123" t="s">
        <v>291</v>
      </c>
      <c r="D66" s="431">
        <f>103833.82+11.62</f>
        <v>103845.44</v>
      </c>
      <c r="E66" s="431">
        <v>75547.35</v>
      </c>
      <c r="F66" s="59">
        <v>101208.85</v>
      </c>
      <c r="G66" s="59">
        <v>80000</v>
      </c>
      <c r="H66" s="124">
        <f>(((E66*(1+Parâmetros!B11)*(1+Parâmetros!C11)*(1+Parâmetros!D11))+(F66*(1+Parâmetros!C11)*(1+Parâmetros!D11)+(G66*(1+Parâmetros!D11))))/3)*(1+Parâmetros!E11)</f>
        <v>103257.69988524212</v>
      </c>
      <c r="I66" s="124">
        <f>H66*(1+Parâmetros!F11)</f>
        <v>106871.71938122559</v>
      </c>
      <c r="J66" s="124">
        <f>I66*(1+Parâmetros!G11)</f>
        <v>110077.87096266236</v>
      </c>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row>
    <row r="67" spans="1:178" s="7" customFormat="1" ht="12.75">
      <c r="A67" s="119" t="s">
        <v>292</v>
      </c>
      <c r="B67" s="406">
        <v>19000000</v>
      </c>
      <c r="C67" s="120" t="s">
        <v>293</v>
      </c>
      <c r="D67" s="121">
        <f aca="true" t="shared" si="11" ref="D67:J67">D68+D69+D72</f>
        <v>325274.08999999997</v>
      </c>
      <c r="E67" s="121">
        <f t="shared" si="11"/>
        <v>311292.77</v>
      </c>
      <c r="F67" s="121">
        <f t="shared" si="11"/>
        <v>372706.96</v>
      </c>
      <c r="G67" s="121">
        <f t="shared" si="11"/>
        <v>291600</v>
      </c>
      <c r="H67" s="121">
        <f t="shared" si="11"/>
        <v>393258.8736813123</v>
      </c>
      <c r="I67" s="121">
        <f t="shared" si="11"/>
        <v>407022.9342601582</v>
      </c>
      <c r="J67" s="121">
        <f t="shared" si="11"/>
        <v>419233.622287963</v>
      </c>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row>
    <row r="68" spans="1:178" ht="12.75">
      <c r="A68" s="122" t="s">
        <v>294</v>
      </c>
      <c r="B68" s="406">
        <v>19110000</v>
      </c>
      <c r="C68" s="123" t="s">
        <v>295</v>
      </c>
      <c r="D68" s="431">
        <v>80505.87</v>
      </c>
      <c r="E68" s="431">
        <v>39422.35</v>
      </c>
      <c r="F68" s="59">
        <v>85927.67</v>
      </c>
      <c r="G68" s="59">
        <v>37300</v>
      </c>
      <c r="H68" s="124">
        <f>(((E68*(1+Parâmetros!B11)*(1+Parâmetros!C11)*(1+Parâmetros!D11))+(F68*(1+Parâmetros!C11)*(1+Parâmetros!D11)+(G68*(1+Parâmetros!D11))))/3)*(1+Parâmetros!E11)</f>
        <v>65755.39394610403</v>
      </c>
      <c r="I68" s="124">
        <f>H68*(1+Parâmetros!F11)</f>
        <v>68056.83273421766</v>
      </c>
      <c r="J68" s="124">
        <f>I68*(1+Parâmetros!G11)</f>
        <v>70098.5377162442</v>
      </c>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row>
    <row r="69" spans="1:178" ht="12.75">
      <c r="A69" s="175" t="s">
        <v>296</v>
      </c>
      <c r="B69" s="422">
        <v>19200000</v>
      </c>
      <c r="C69" s="176" t="s">
        <v>297</v>
      </c>
      <c r="D69" s="177">
        <f aca="true" t="shared" si="12" ref="D69:J69">D70+D71</f>
        <v>62932.35</v>
      </c>
      <c r="E69" s="177">
        <f t="shared" si="12"/>
        <v>82137.02</v>
      </c>
      <c r="F69" s="177">
        <f t="shared" si="12"/>
        <v>138656.01</v>
      </c>
      <c r="G69" s="177">
        <f t="shared" si="12"/>
        <v>64300</v>
      </c>
      <c r="H69" s="177">
        <f t="shared" si="12"/>
        <v>115537.02230018818</v>
      </c>
      <c r="I69" s="177">
        <f t="shared" si="12"/>
        <v>119580.81808069476</v>
      </c>
      <c r="J69" s="177">
        <f t="shared" si="12"/>
        <v>123168.24262311561</v>
      </c>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row>
    <row r="70" spans="1:178" ht="12.75">
      <c r="A70" s="122" t="s">
        <v>457</v>
      </c>
      <c r="B70" s="406">
        <v>19220120</v>
      </c>
      <c r="C70" s="123" t="s">
        <v>458</v>
      </c>
      <c r="D70" s="59">
        <v>0</v>
      </c>
      <c r="E70" s="59">
        <v>0</v>
      </c>
      <c r="F70" s="59">
        <v>0</v>
      </c>
      <c r="G70" s="59">
        <v>0</v>
      </c>
      <c r="H70" s="177">
        <f>(((E70*(1+Parâmetros!B11)*(1+Parâmetros!C11)*(1+Parâmetros!D11))+(F70*(1+Parâmetros!C11)*(1+Parâmetros!D11)+(G70*(1+Parâmetros!D11))))/3)*(1+Parâmetros!E11)</f>
        <v>0</v>
      </c>
      <c r="I70" s="177">
        <f>H70*(1+Parâmetros!F11)</f>
        <v>0</v>
      </c>
      <c r="J70" s="177">
        <f>I70*(1+Parâmetros!G11)</f>
        <v>0</v>
      </c>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row>
    <row r="71" spans="1:178" ht="12.75">
      <c r="A71" s="122" t="s">
        <v>459</v>
      </c>
      <c r="B71" s="406">
        <v>19229900</v>
      </c>
      <c r="C71" s="123" t="s">
        <v>460</v>
      </c>
      <c r="D71" s="431">
        <v>62932.35</v>
      </c>
      <c r="E71" s="431">
        <v>82137.02</v>
      </c>
      <c r="F71" s="59">
        <v>138656.01</v>
      </c>
      <c r="G71" s="59">
        <v>64300</v>
      </c>
      <c r="H71" s="177">
        <f>(((E71*(1+Parâmetros!B11)*(1+Parâmetros!C11)*(1+Parâmetros!D11))+(F71*(1+Parâmetros!C11)*(1+Parâmetros!D11)+(G71*(1+Parâmetros!D11))))/3)*(1+Parâmetros!E11)</f>
        <v>115537.02230018818</v>
      </c>
      <c r="I71" s="177">
        <f>H71*(1+Parâmetros!F11)</f>
        <v>119580.81808069476</v>
      </c>
      <c r="J71" s="177">
        <f>I71*(1+Parâmetros!G11)</f>
        <v>123168.24262311561</v>
      </c>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row>
    <row r="72" spans="1:178" s="7" customFormat="1" ht="12.75">
      <c r="A72" s="119" t="s">
        <v>298</v>
      </c>
      <c r="B72" s="406">
        <v>19990000</v>
      </c>
      <c r="C72" s="120" t="s">
        <v>299</v>
      </c>
      <c r="D72" s="121">
        <f aca="true" t="shared" si="13" ref="D72:J72">D73+D74+D75+D76+D77+D78</f>
        <v>181835.87</v>
      </c>
      <c r="E72" s="121">
        <f t="shared" si="13"/>
        <v>189733.4</v>
      </c>
      <c r="F72" s="121">
        <f t="shared" si="13"/>
        <v>148123.28000000003</v>
      </c>
      <c r="G72" s="121">
        <f t="shared" si="13"/>
        <v>190000</v>
      </c>
      <c r="H72" s="121">
        <f t="shared" si="13"/>
        <v>211966.45743502007</v>
      </c>
      <c r="I72" s="121">
        <f t="shared" si="13"/>
        <v>219385.28344524576</v>
      </c>
      <c r="J72" s="121">
        <f t="shared" si="13"/>
        <v>225966.84194860316</v>
      </c>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row>
    <row r="73" spans="1:178" ht="25.5">
      <c r="A73" s="122" t="s">
        <v>300</v>
      </c>
      <c r="B73" s="406">
        <v>19990300</v>
      </c>
      <c r="C73" s="123" t="s">
        <v>301</v>
      </c>
      <c r="D73" s="431">
        <v>148038.28</v>
      </c>
      <c r="E73" s="431">
        <v>154554</v>
      </c>
      <c r="F73" s="59">
        <v>125131.46</v>
      </c>
      <c r="G73" s="59">
        <v>170000</v>
      </c>
      <c r="H73" s="124">
        <f>(((E73*(1+Parâmetros!B11)*(1+Parâmetros!C11)*(1+Parâmetros!D11))+(F73*(1+Parâmetros!C11)*(1+Parâmetros!D11)+(G73*(1+Parâmetros!D11))))/3)*(1+Parâmetros!E11)</f>
        <v>180141.52559002742</v>
      </c>
      <c r="I73" s="124">
        <f>H73*(1+Parâmetros!F11)</f>
        <v>186446.47898567838</v>
      </c>
      <c r="J73" s="124">
        <f>I73*(1+Parâmetros!G11)</f>
        <v>192039.87335524874</v>
      </c>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row>
    <row r="74" spans="1:178" ht="12.75">
      <c r="A74" s="122" t="s">
        <v>302</v>
      </c>
      <c r="B74" s="406">
        <v>19990600</v>
      </c>
      <c r="C74" s="123" t="s">
        <v>303</v>
      </c>
      <c r="D74" s="431">
        <v>0</v>
      </c>
      <c r="E74" s="431"/>
      <c r="F74" s="59">
        <v>0</v>
      </c>
      <c r="G74" s="59">
        <v>0</v>
      </c>
      <c r="H74" s="124">
        <f>(((E74*(1+Parâmetros!B11)*(1+Parâmetros!C11)*(1+Parâmetros!D11))+(F74*(1+Parâmetros!C11)*(1+Parâmetros!D11)+(G74*(1+Parâmetros!D11))))/3)*(1+Parâmetros!E11)</f>
        <v>0</v>
      </c>
      <c r="I74" s="124">
        <f>H74*(1+Parâmetros!F11)</f>
        <v>0</v>
      </c>
      <c r="J74" s="124">
        <f>I74*(1+Parâmetros!G11)</f>
        <v>0</v>
      </c>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row>
    <row r="75" spans="1:178" ht="12.75">
      <c r="A75" s="122" t="s">
        <v>461</v>
      </c>
      <c r="B75" s="406">
        <v>19991100</v>
      </c>
      <c r="C75" s="123" t="s">
        <v>462</v>
      </c>
      <c r="D75" s="431">
        <v>0</v>
      </c>
      <c r="E75" s="431"/>
      <c r="F75" s="59">
        <v>0</v>
      </c>
      <c r="G75" s="59">
        <v>0</v>
      </c>
      <c r="H75" s="124">
        <f>((D75+E75+F75+G75)/4)/Parâmetros!D22*Parâmetros!E22</f>
        <v>0</v>
      </c>
      <c r="I75" s="124">
        <f>((E75+F75+G75+H75)/4)/Parâmetros!E22*Parâmetros!F22</f>
        <v>0</v>
      </c>
      <c r="J75" s="124">
        <f>((F75+G75+H75+I75)/4)/Parâmetros!F22*Parâmetros!G22</f>
        <v>0</v>
      </c>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row>
    <row r="76" spans="1:178" ht="12.75">
      <c r="A76" s="122" t="s">
        <v>304</v>
      </c>
      <c r="B76" s="406">
        <v>19991200</v>
      </c>
      <c r="C76" s="123" t="s">
        <v>305</v>
      </c>
      <c r="D76" s="431">
        <v>32808.89</v>
      </c>
      <c r="E76" s="431">
        <v>33514.1</v>
      </c>
      <c r="F76" s="59">
        <v>22971.93</v>
      </c>
      <c r="G76" s="59">
        <v>20000</v>
      </c>
      <c r="H76" s="124">
        <f>(((E76*(1+Parâmetros!B11)*(1+Parâmetros!C11)*(1+Parâmetros!D11))+(F76*(1+Parâmetros!C11)*(1+Parâmetros!D11)+(G76*(1+Parâmetros!D11))))/3)*(1+Parâmetros!E11)</f>
        <v>31106.027143018993</v>
      </c>
      <c r="I76" s="124">
        <f>H76*(1+Parâmetros!F11)</f>
        <v>32194.738093024655</v>
      </c>
      <c r="J76" s="124">
        <f>I76*(1+Parâmetros!G11)</f>
        <v>33160.580235815396</v>
      </c>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row>
    <row r="77" spans="1:178" ht="12.75">
      <c r="A77" s="122" t="s">
        <v>463</v>
      </c>
      <c r="B77" s="406">
        <v>19999930</v>
      </c>
      <c r="C77" s="123" t="s">
        <v>464</v>
      </c>
      <c r="D77" s="431">
        <v>0</v>
      </c>
      <c r="E77" s="431"/>
      <c r="F77" s="59">
        <v>0</v>
      </c>
      <c r="G77" s="59">
        <v>0</v>
      </c>
      <c r="H77" s="124">
        <f>((D77+E77+F77+G77)/4)*(1+Parâmetros!E11)</f>
        <v>0</v>
      </c>
      <c r="I77" s="124">
        <f>((E77+F77+G77+H77)/4)*(1+Parâmetros!F11)</f>
        <v>0</v>
      </c>
      <c r="J77" s="124">
        <f>((F77+G77+H77+I77)/4)*(1+Parâmetros!G11)</f>
        <v>0</v>
      </c>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row>
    <row r="78" spans="1:178" ht="12.75">
      <c r="A78" s="122" t="s">
        <v>306</v>
      </c>
      <c r="B78" s="406">
        <v>19999900</v>
      </c>
      <c r="C78" s="123" t="s">
        <v>465</v>
      </c>
      <c r="D78" s="431">
        <v>988.7</v>
      </c>
      <c r="E78" s="431">
        <f>90.74+1574.56</f>
        <v>1665.3</v>
      </c>
      <c r="F78" s="59">
        <v>19.89</v>
      </c>
      <c r="G78" s="59">
        <v>0</v>
      </c>
      <c r="H78" s="124">
        <f>(((E78*(1+Parâmetros!B11)*(1+Parâmetros!C11)*(1+Parâmetros!D11))+(F78*(1+Parâmetros!C11)*(1+Parâmetros!D11)+(G78*(1+Parâmetros!D11))))/3)*(1+Parâmetros!E11)</f>
        <v>718.9047019736732</v>
      </c>
      <c r="I78" s="124">
        <f>H78*(1+Parâmetros!F11)</f>
        <v>744.0663665427518</v>
      </c>
      <c r="J78" s="124">
        <f>I78*(1+Parâmetros!G11)</f>
        <v>766.3883575390344</v>
      </c>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row>
    <row r="79" spans="1:178" s="10" customFormat="1" ht="18">
      <c r="A79" s="119" t="s">
        <v>307</v>
      </c>
      <c r="B79" s="406">
        <v>20000000</v>
      </c>
      <c r="C79" s="120" t="s">
        <v>308</v>
      </c>
      <c r="D79" s="121">
        <f aca="true" t="shared" si="14" ref="D79:J79">D80+D81+D86+D87+D95</f>
        <v>1460435.32</v>
      </c>
      <c r="E79" s="121">
        <f t="shared" si="14"/>
        <v>1067481.15</v>
      </c>
      <c r="F79" s="121">
        <f>F80+F81+F86+F87+F95</f>
        <v>2377059.5</v>
      </c>
      <c r="G79" s="121">
        <f t="shared" si="14"/>
        <v>2688706</v>
      </c>
      <c r="H79" s="121">
        <f t="shared" si="14"/>
        <v>2417162.2975025536</v>
      </c>
      <c r="I79" s="121">
        <f t="shared" si="14"/>
        <v>2528032.6004458754</v>
      </c>
      <c r="J79" s="121">
        <f t="shared" si="14"/>
        <v>2636247.334102979</v>
      </c>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row>
    <row r="80" spans="1:10" s="60" customFormat="1" ht="12.75">
      <c r="A80" s="122" t="s">
        <v>309</v>
      </c>
      <c r="B80" s="406">
        <v>21000000</v>
      </c>
      <c r="C80" s="123" t="s">
        <v>310</v>
      </c>
      <c r="D80" s="59"/>
      <c r="E80" s="431">
        <v>33250.17</v>
      </c>
      <c r="F80" s="59"/>
      <c r="G80" s="59"/>
      <c r="H80" s="124">
        <f>Dívida!E22</f>
        <v>0</v>
      </c>
      <c r="I80" s="124">
        <f>Dívida!F22</f>
        <v>0</v>
      </c>
      <c r="J80" s="124">
        <f>Dívida!G22</f>
        <v>0</v>
      </c>
    </row>
    <row r="81" spans="1:178" s="7" customFormat="1" ht="12.75">
      <c r="A81" s="119" t="s">
        <v>311</v>
      </c>
      <c r="B81" s="406">
        <v>22000000</v>
      </c>
      <c r="C81" s="120" t="s">
        <v>312</v>
      </c>
      <c r="D81" s="121">
        <f aca="true" t="shared" si="15" ref="D81:J81">D82+D83+D84+D85</f>
        <v>174179.81</v>
      </c>
      <c r="E81" s="121">
        <f t="shared" si="15"/>
        <v>223420.99</v>
      </c>
      <c r="F81" s="121">
        <f t="shared" si="15"/>
        <v>1553423.17</v>
      </c>
      <c r="G81" s="121">
        <f t="shared" si="15"/>
        <v>492100</v>
      </c>
      <c r="H81" s="121">
        <f t="shared" si="15"/>
        <v>912305.1034790773</v>
      </c>
      <c r="I81" s="121">
        <f t="shared" si="15"/>
        <v>944235.7821008449</v>
      </c>
      <c r="J81" s="121">
        <f t="shared" si="15"/>
        <v>972562.8555638704</v>
      </c>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row>
    <row r="82" spans="1:178" s="7" customFormat="1" ht="12.75">
      <c r="A82" s="122" t="s">
        <v>466</v>
      </c>
      <c r="B82" s="406">
        <v>22110100</v>
      </c>
      <c r="C82" s="123" t="s">
        <v>467</v>
      </c>
      <c r="D82" s="59"/>
      <c r="E82" s="59"/>
      <c r="F82" s="59"/>
      <c r="G82" s="59"/>
      <c r="H82" s="124">
        <f>((D82+E82+F82+G82)/4)*(1+Parâmetros!E11)</f>
        <v>0</v>
      </c>
      <c r="I82" s="124">
        <f>((E82+F82+G82+H82)/4)*(1+Parâmetros!F11)</f>
        <v>0</v>
      </c>
      <c r="J82" s="124">
        <f>((F82+G82+H82+I82)/4)*(1+Parâmetros!G11)</f>
        <v>0</v>
      </c>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row>
    <row r="83" spans="1:178" s="7" customFormat="1" ht="12.75">
      <c r="A83" s="122" t="s">
        <v>468</v>
      </c>
      <c r="B83" s="406">
        <v>22110200</v>
      </c>
      <c r="C83" s="123" t="s">
        <v>469</v>
      </c>
      <c r="D83" s="178">
        <v>0</v>
      </c>
      <c r="E83" s="178">
        <v>0</v>
      </c>
      <c r="F83" s="178">
        <v>0</v>
      </c>
      <c r="G83" s="178">
        <v>0</v>
      </c>
      <c r="H83" s="124">
        <f>((D83+E83+F83+G83)/4)*(1+Parâmetros!E11)</f>
        <v>0</v>
      </c>
      <c r="I83" s="124">
        <f>((E83+F83+G83+H83)/4)*(1+Parâmetros!F11)</f>
        <v>0</v>
      </c>
      <c r="J83" s="124">
        <f>((F83+G83+H83+I83)/4)*(1+Parâmetros!G11)</f>
        <v>0</v>
      </c>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row>
    <row r="84" spans="1:10" s="60" customFormat="1" ht="12.75">
      <c r="A84" s="122" t="s">
        <v>313</v>
      </c>
      <c r="B84" s="406">
        <v>22100000</v>
      </c>
      <c r="C84" s="123" t="s">
        <v>314</v>
      </c>
      <c r="D84" s="431">
        <v>150120</v>
      </c>
      <c r="E84" s="431">
        <v>201600</v>
      </c>
      <c r="F84" s="59">
        <v>2050</v>
      </c>
      <c r="G84" s="59">
        <v>148100</v>
      </c>
      <c r="H84" s="124">
        <f>(((E84*(1+Parâmetros!B11)*(1+Parâmetros!C11)*(1+Parâmetros!D11))+(F84*(1+Parâmetros!C11)*(1+Parâmetros!D11)+(G84*(1+Parâmetros!D11))))/3)*(1+Parâmetros!E11)</f>
        <v>141834.27042383055</v>
      </c>
      <c r="I84" s="124">
        <f>H84*(1+Parâmetros!F11)</f>
        <v>146798.4698886646</v>
      </c>
      <c r="J84" s="124">
        <f>I84*(1+Parâmetros!G11)</f>
        <v>151202.42398532454</v>
      </c>
    </row>
    <row r="85" spans="1:10" s="60" customFormat="1" ht="12.75">
      <c r="A85" s="122" t="s">
        <v>315</v>
      </c>
      <c r="B85" s="406">
        <v>22210100</v>
      </c>
      <c r="C85" s="123" t="s">
        <v>316</v>
      </c>
      <c r="D85" s="431">
        <v>24059.81</v>
      </c>
      <c r="E85" s="431">
        <v>21820.99</v>
      </c>
      <c r="F85" s="59">
        <v>1551373.17</v>
      </c>
      <c r="G85" s="59">
        <v>344000</v>
      </c>
      <c r="H85" s="124">
        <f>(((E85*(1+Parâmetros!B11)*(1+Parâmetros!C11)*(1+Parâmetros!D11))+(F85*(1+Parâmetros!C11)*(1+Parâmetros!D11)+(G85*(1+Parâmetros!D11))))/3)*(1+Parâmetros!E11)</f>
        <v>770470.8330552467</v>
      </c>
      <c r="I85" s="124">
        <f>H85*(1+Parâmetros!F11)</f>
        <v>797437.3122121803</v>
      </c>
      <c r="J85" s="124">
        <f>I85*(1+Parâmetros!G11)</f>
        <v>821360.4315785458</v>
      </c>
    </row>
    <row r="86" spans="1:10" s="60" customFormat="1" ht="12.75">
      <c r="A86" s="122" t="s">
        <v>317</v>
      </c>
      <c r="B86" s="406">
        <v>23110000</v>
      </c>
      <c r="C86" s="123" t="s">
        <v>318</v>
      </c>
      <c r="D86" s="431">
        <v>26293.2</v>
      </c>
      <c r="E86" s="431">
        <v>12952.85</v>
      </c>
      <c r="F86" s="59">
        <v>7280.33</v>
      </c>
      <c r="G86" s="59">
        <v>9000</v>
      </c>
      <c r="H86" s="124">
        <f>(((E86*(1+Parâmetros!B11)*(1+Parâmetros!C11)*(1+Parâmetros!D11))+(F86*(1+Parâmetros!C11)*(1+Parâmetros!D11)+(G86*(1+Parâmetros!D11))))/3)*(1+Parâmetros!E11)</f>
        <v>11840.852407508826</v>
      </c>
      <c r="I86" s="124">
        <f>H86*(1+Parâmetros!F11)</f>
        <v>12255.282241771634</v>
      </c>
      <c r="J86" s="124">
        <f>I86*(1+Parâmetros!G11)</f>
        <v>12622.940709024784</v>
      </c>
    </row>
    <row r="87" spans="1:178" s="7" customFormat="1" ht="12.75">
      <c r="A87" s="119" t="s">
        <v>319</v>
      </c>
      <c r="B87" s="406">
        <v>24000000</v>
      </c>
      <c r="C87" s="120" t="s">
        <v>320</v>
      </c>
      <c r="D87" s="121">
        <f aca="true" t="shared" si="16" ref="D87:J87">D88+D89+D90+D91+D92+D93+D94</f>
        <v>1259962.31</v>
      </c>
      <c r="E87" s="121">
        <f t="shared" si="16"/>
        <v>797857.14</v>
      </c>
      <c r="F87" s="121">
        <f t="shared" si="16"/>
        <v>816356</v>
      </c>
      <c r="G87" s="121">
        <f t="shared" si="16"/>
        <v>2187606</v>
      </c>
      <c r="H87" s="121">
        <f t="shared" si="16"/>
        <v>1493016.3416159672</v>
      </c>
      <c r="I87" s="121">
        <f t="shared" si="16"/>
        <v>1571541.5361032588</v>
      </c>
      <c r="J87" s="121">
        <f t="shared" si="16"/>
        <v>1651061.5378300836</v>
      </c>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row>
    <row r="88" spans="1:178" ht="12.75">
      <c r="A88" s="122" t="s">
        <v>321</v>
      </c>
      <c r="B88" s="406">
        <v>24100000</v>
      </c>
      <c r="C88" s="123" t="s">
        <v>242</v>
      </c>
      <c r="D88" s="431">
        <v>1259962.31</v>
      </c>
      <c r="E88" s="431">
        <v>797857.14</v>
      </c>
      <c r="F88" s="59">
        <v>716356</v>
      </c>
      <c r="G88" s="59">
        <v>1127606</v>
      </c>
      <c r="H88" s="124">
        <f>(((E88*(1+Parâmetros!B11)*(1+Parâmetros!C11)*(1+Parâmetros!D11))+(F88*(1+Parâmetros!C11)*(1+Parâmetros!D11)+(G88*(1+Parâmetros!D11))))/3)*(1+Parâmetros!E11)*(1+Parâmetros!E12)</f>
        <v>1056712.0714853671</v>
      </c>
      <c r="I88" s="124">
        <f>H88*(1+Parâmetros!F11)*(1+Parâmetros!F12)</f>
        <v>1112289.8428851399</v>
      </c>
      <c r="J88" s="124">
        <f>I88*(1+Parâmetros!G11)*(1+Parâmetros!G12)</f>
        <v>1168571.708935128</v>
      </c>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row>
    <row r="89" spans="1:178" ht="12.75">
      <c r="A89" s="122" t="s">
        <v>322</v>
      </c>
      <c r="B89" s="406">
        <v>24200000</v>
      </c>
      <c r="C89" s="123" t="s">
        <v>263</v>
      </c>
      <c r="D89" s="59"/>
      <c r="E89" s="59"/>
      <c r="F89" s="59">
        <v>100000</v>
      </c>
      <c r="G89" s="59">
        <v>1060000</v>
      </c>
      <c r="H89" s="124">
        <f>(((E89*(1+Parâmetros!B11)*(1+Parâmetros!C11)*(1+Parâmetros!D11))+(F89*(1+Parâmetros!C11)*(1+Parâmetros!D11)+(G89*(1+Parâmetros!D11))))/3)*(1+Parâmetros!E11)*(1+Parâmetros!E12)</f>
        <v>436304.2701306</v>
      </c>
      <c r="I89" s="124">
        <f>H89*(1+Parâmetros!F11)*(1+Parâmetros!F12)</f>
        <v>459251.69321811886</v>
      </c>
      <c r="J89" s="124">
        <f>I89*(1+Parâmetros!G11)*(1+Parâmetros!G12)</f>
        <v>482489.8288949557</v>
      </c>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row>
    <row r="90" spans="1:178" ht="12.75">
      <c r="A90" s="122" t="s">
        <v>323</v>
      </c>
      <c r="B90" s="406">
        <v>24300000</v>
      </c>
      <c r="C90" s="123" t="s">
        <v>284</v>
      </c>
      <c r="D90" s="59"/>
      <c r="E90" s="59"/>
      <c r="F90" s="59"/>
      <c r="G90" s="59"/>
      <c r="H90" s="124">
        <f>(((E90*(1+Parâmetros!B11)*(1+Parâmetros!C11)*(1+Parâmetros!D11))+(F90*(1+Parâmetros!C11)*(1+Parâmetros!D11)+(G90*(1+Parâmetros!D11))))/3)*(1+Parâmetros!E11)*(1+Parâmetros!E12)</f>
        <v>0</v>
      </c>
      <c r="I90" s="124">
        <f>H90*(1+Parâmetros!F11)*(1+Parâmetros!F12)</f>
        <v>0</v>
      </c>
      <c r="J90" s="124">
        <f>I90*(1+Parâmetros!G11)*(1+Parâmetros!G12)</f>
        <v>0</v>
      </c>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row>
    <row r="91" spans="1:178" ht="12.75">
      <c r="A91" s="122" t="s">
        <v>324</v>
      </c>
      <c r="B91" s="406">
        <v>24410000</v>
      </c>
      <c r="C91" s="123" t="s">
        <v>286</v>
      </c>
      <c r="D91" s="59"/>
      <c r="E91" s="59"/>
      <c r="F91" s="59"/>
      <c r="G91" s="59"/>
      <c r="H91" s="124">
        <f>(((E91*(1+Parâmetros!B11)*(1+Parâmetros!C11)*(1+Parâmetros!D11))+(F91*(1+Parâmetros!C11)*(1+Parâmetros!D11)+(G91*(1+Parâmetros!D11))))/3)*(1+Parâmetros!E11)*(1+Parâmetros!E12)</f>
        <v>0</v>
      </c>
      <c r="I91" s="124">
        <f>H91*(1+Parâmetros!F11)*(1+Parâmetros!F12)</f>
        <v>0</v>
      </c>
      <c r="J91" s="124">
        <f>I91*(1+Parâmetros!G11)*(1+Parâmetros!G12)</f>
        <v>0</v>
      </c>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row>
    <row r="92" spans="1:178" ht="12.75">
      <c r="A92" s="122" t="s">
        <v>325</v>
      </c>
      <c r="B92" s="406">
        <v>24510100</v>
      </c>
      <c r="C92" s="123" t="s">
        <v>287</v>
      </c>
      <c r="D92" s="59"/>
      <c r="E92" s="59"/>
      <c r="F92" s="59"/>
      <c r="G92" s="59"/>
      <c r="H92" s="124">
        <f>(((E92*(1+Parâmetros!B11)*(1+Parâmetros!C11)*(1+Parâmetros!D11))+(F92*(1+Parâmetros!C11)*(1+Parâmetros!D11)+(G92*(1+Parâmetros!D11))))/3)*(1+Parâmetros!E11)*(1+Parâmetros!E12)</f>
        <v>0</v>
      </c>
      <c r="I92" s="124">
        <f>H92:H93*(1+Parâmetros!F11)*(1+Parâmetros!F12)</f>
        <v>0</v>
      </c>
      <c r="J92" s="124">
        <f>I92:I93*(1+Parâmetros!G11)*(1+Parâmetros!G12)</f>
        <v>0</v>
      </c>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row>
    <row r="93" spans="1:178" ht="12.75">
      <c r="A93" s="122" t="s">
        <v>326</v>
      </c>
      <c r="B93" s="406">
        <v>24610000</v>
      </c>
      <c r="C93" s="123" t="s">
        <v>289</v>
      </c>
      <c r="D93" s="59"/>
      <c r="E93" s="59"/>
      <c r="F93" s="59"/>
      <c r="G93" s="59"/>
      <c r="H93" s="124">
        <f>(((E93*(1+Parâmetros!B11)*(1+Parâmetros!C11)*(1+Parâmetros!D11))+(F93*(1+Parâmetros!C11)*(1+Parâmetros!D11)+(G93*(1+Parâmetros!D11))))/3)*(1+Parâmetros!E11)*(1+Parâmetros!E12)</f>
        <v>0</v>
      </c>
      <c r="I93" s="124">
        <f>H93*(1+Parâmetros!F11)*(1+Parâmetros!F12)</f>
        <v>0</v>
      </c>
      <c r="J93" s="124">
        <f>I93*(1+Parâmetros!G11)*(1+Parâmetros!G12)</f>
        <v>0</v>
      </c>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row>
    <row r="94" spans="1:178" ht="12.75">
      <c r="A94" s="122" t="s">
        <v>327</v>
      </c>
      <c r="B94" s="406">
        <v>24910000</v>
      </c>
      <c r="C94" s="123" t="s">
        <v>291</v>
      </c>
      <c r="D94" s="59"/>
      <c r="E94" s="59"/>
      <c r="F94" s="59"/>
      <c r="G94" s="59"/>
      <c r="H94" s="124">
        <f>(((E94*(1+Parâmetros!B11)*(1+Parâmetros!C11)*(1+Parâmetros!D11))+(F94*(1+Parâmetros!C11)*(1+Parâmetros!D11)+(G94*(1+Parâmetros!D11))))/3)*(1+Parâmetros!E11)*(1+Parâmetros!E12)</f>
        <v>0</v>
      </c>
      <c r="I94" s="124">
        <f>H94*(1+Parâmetros!F11)*(1+Parâmetros!F12)</f>
        <v>0</v>
      </c>
      <c r="J94" s="124">
        <f>I94*(1+Parâmetros!G11)*(1+Parâmetros!G12)</f>
        <v>0</v>
      </c>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row>
    <row r="95" spans="1:178" s="7" customFormat="1" ht="12.75">
      <c r="A95" s="119" t="s">
        <v>328</v>
      </c>
      <c r="B95" s="406">
        <v>29000000</v>
      </c>
      <c r="C95" s="120" t="s">
        <v>329</v>
      </c>
      <c r="D95" s="121">
        <f aca="true" t="shared" si="17" ref="D95:J95">D96+D97</f>
        <v>0</v>
      </c>
      <c r="E95" s="121">
        <f t="shared" si="17"/>
        <v>0</v>
      </c>
      <c r="F95" s="121">
        <f t="shared" si="17"/>
        <v>0</v>
      </c>
      <c r="G95" s="121">
        <f t="shared" si="17"/>
        <v>0</v>
      </c>
      <c r="H95" s="121">
        <f t="shared" si="17"/>
        <v>0</v>
      </c>
      <c r="I95" s="121">
        <f t="shared" si="17"/>
        <v>0</v>
      </c>
      <c r="J95" s="121">
        <f t="shared" si="17"/>
        <v>0</v>
      </c>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row>
    <row r="96" spans="1:178" ht="12.75">
      <c r="A96" s="122" t="s">
        <v>330</v>
      </c>
      <c r="B96" s="406">
        <v>29999900</v>
      </c>
      <c r="C96" s="125" t="s">
        <v>331</v>
      </c>
      <c r="D96" s="59">
        <v>0</v>
      </c>
      <c r="E96" s="59">
        <v>0</v>
      </c>
      <c r="F96" s="59">
        <v>0</v>
      </c>
      <c r="G96" s="59">
        <v>0</v>
      </c>
      <c r="H96" s="124">
        <f>(((E96*(1+Parâmetros!B11)*(1+Parâmetros!C11)*(1+Parâmetros!D11))+(F96*(1+Parâmetros!C11)*(1+Parâmetros!D11)+(G96*(1+Parâmetros!D11))))/3)*(1+Parâmetros!E11)</f>
        <v>0</v>
      </c>
      <c r="I96" s="124">
        <f>H96*(1+Parâmetros!F11)</f>
        <v>0</v>
      </c>
      <c r="J96" s="124">
        <f>I96*(1+Parâmetros!G11)</f>
        <v>0</v>
      </c>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row>
    <row r="97" spans="1:178" ht="12.75">
      <c r="A97" s="122" t="s">
        <v>332</v>
      </c>
      <c r="B97" s="406">
        <v>29999900</v>
      </c>
      <c r="C97" s="125" t="s">
        <v>333</v>
      </c>
      <c r="D97" s="59"/>
      <c r="E97" s="59"/>
      <c r="F97" s="59"/>
      <c r="G97" s="59"/>
      <c r="H97" s="124">
        <f>(((E97*(1+Parâmetros!B11)*(1+Parâmetros!C11)*(1+Parâmetros!D11))+(F97*(1+Parâmetros!C11)*(1+Parâmetros!D11)+(G97*(1+Parâmetros!D11))))/3)*(1+Parâmetros!E11)</f>
        <v>0</v>
      </c>
      <c r="I97" s="124">
        <f>H97*(1+Parâmetros!F11)</f>
        <v>0</v>
      </c>
      <c r="J97" s="124">
        <f>I97*(1+Parâmetros!G11)</f>
        <v>0</v>
      </c>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row>
    <row r="98" spans="1:10" s="63" customFormat="1" ht="18">
      <c r="A98" s="285" t="s">
        <v>334</v>
      </c>
      <c r="B98" s="421">
        <v>70000000</v>
      </c>
      <c r="C98" s="120" t="s">
        <v>532</v>
      </c>
      <c r="D98" s="121">
        <f aca="true" t="shared" si="18" ref="D98:J98">D99+D100</f>
        <v>7842633.399999999</v>
      </c>
      <c r="E98" s="121">
        <f t="shared" si="18"/>
        <v>8090433.37</v>
      </c>
      <c r="F98" s="121">
        <f t="shared" si="18"/>
        <v>8301815.71</v>
      </c>
      <c r="G98" s="121">
        <f t="shared" si="18"/>
        <v>8139113.108571428</v>
      </c>
      <c r="H98" s="121">
        <f t="shared" si="18"/>
        <v>10767470.462434417</v>
      </c>
      <c r="I98" s="121">
        <f t="shared" si="18"/>
        <v>11307835.825735597</v>
      </c>
      <c r="J98" s="121">
        <f t="shared" si="18"/>
        <v>11818039.73155037</v>
      </c>
    </row>
    <row r="99" spans="1:10" s="63" customFormat="1" ht="18">
      <c r="A99" s="126" t="s">
        <v>334</v>
      </c>
      <c r="B99" s="420">
        <v>70000000</v>
      </c>
      <c r="C99" s="123" t="s">
        <v>565</v>
      </c>
      <c r="D99" s="431">
        <v>7599342.13</v>
      </c>
      <c r="E99" s="431">
        <v>7747127.69</v>
      </c>
      <c r="F99" s="59">
        <v>8163535.71</v>
      </c>
      <c r="G99" s="59">
        <f>(4478352.52/7)*12</f>
        <v>7677175.748571428</v>
      </c>
      <c r="H99" s="124">
        <f>(((E99*(1+Parâmetros!B11)*(1+Parâmetros!C11)*(1+Parâmetros!D11))+(F99*(1+Parâmetros!C11)*(1+Parâmetros!D11)+(G99*(1+Parâmetros!D11))))/3)*(1+Parâmetros!E11)*(1+Parâmetros!E13)*(1+Parâmetros!E18)</f>
        <v>10393077.619881457</v>
      </c>
      <c r="I99" s="124">
        <f>H99*(1+Parâmetros!F11)*(1+Parâmetros!F13)*(1+Parâmetros!F18)</f>
        <v>10920339.233693283</v>
      </c>
      <c r="J99" s="124">
        <f>I99*(1+Parâmetros!G11)*(1+Parâmetros!G13)*(1+Parâmetros!G18)</f>
        <v>11418918.241746785</v>
      </c>
    </row>
    <row r="100" spans="1:10" s="63" customFormat="1" ht="18">
      <c r="A100" s="126" t="s">
        <v>334</v>
      </c>
      <c r="B100" s="420">
        <v>70000000</v>
      </c>
      <c r="C100" s="123" t="s">
        <v>566</v>
      </c>
      <c r="D100" s="431">
        <v>243291.27</v>
      </c>
      <c r="E100" s="431">
        <v>343305.68</v>
      </c>
      <c r="F100" s="59">
        <f>137732.3+547.7</f>
        <v>138280</v>
      </c>
      <c r="G100" s="59">
        <f>152000+309937.36</f>
        <v>461937.36</v>
      </c>
      <c r="H100" s="124">
        <f>(((E100*(1+Parâmetros!B11)*(1+Parâmetros!C11)*(1+Parâmetros!D11))+(F100*(1+Parâmetros!C11)*(1+Parâmetros!D11)+(G100*(1+Parâmetros!D11))))/3)*(1+Parâmetros!E11)</f>
        <v>374392.8425529605</v>
      </c>
      <c r="I100" s="124">
        <f>H100*(1+Parâmetros!F11)</f>
        <v>387496.59204231406</v>
      </c>
      <c r="J100" s="124">
        <f>I100*(1+Parâmetros!G11)</f>
        <v>399121.4898035835</v>
      </c>
    </row>
    <row r="101" spans="1:10" s="63" customFormat="1" ht="18">
      <c r="A101" s="119" t="s">
        <v>335</v>
      </c>
      <c r="B101" s="408">
        <v>80000000</v>
      </c>
      <c r="C101" s="120" t="s">
        <v>336</v>
      </c>
      <c r="D101" s="121">
        <f aca="true" t="shared" si="19" ref="D101:J101">D102+D103</f>
        <v>0</v>
      </c>
      <c r="E101" s="121">
        <f t="shared" si="19"/>
        <v>0</v>
      </c>
      <c r="F101" s="121">
        <f t="shared" si="19"/>
        <v>0</v>
      </c>
      <c r="G101" s="121">
        <f t="shared" si="19"/>
        <v>0</v>
      </c>
      <c r="H101" s="121">
        <f t="shared" si="19"/>
        <v>0</v>
      </c>
      <c r="I101" s="121">
        <f t="shared" si="19"/>
        <v>0</v>
      </c>
      <c r="J101" s="121">
        <f t="shared" si="19"/>
        <v>0</v>
      </c>
    </row>
    <row r="102" spans="1:10" s="63" customFormat="1" ht="18">
      <c r="A102" s="122" t="s">
        <v>335</v>
      </c>
      <c r="B102" s="406">
        <v>80000000</v>
      </c>
      <c r="C102" s="123" t="s">
        <v>567</v>
      </c>
      <c r="D102" s="59"/>
      <c r="E102" s="59"/>
      <c r="F102" s="59"/>
      <c r="G102" s="59"/>
      <c r="H102" s="124">
        <f>(((E102*(1+Parâmetros!B11)*(1+Parâmetros!C11)*(1+Parâmetros!D11))+(F102*(1+Parâmetros!C11)*(1+Parâmetros!D11)+(G102*(1+Parâmetros!D11))))/3)*(1+Parâmetros!E11)</f>
        <v>0</v>
      </c>
      <c r="I102" s="124">
        <f>H102*(1+Parâmetros!F11)</f>
        <v>0</v>
      </c>
      <c r="J102" s="124">
        <f>I102*(1+Parâmetros!G11)</f>
        <v>0</v>
      </c>
    </row>
    <row r="103" spans="1:10" s="63" customFormat="1" ht="18">
      <c r="A103" s="122" t="s">
        <v>335</v>
      </c>
      <c r="B103" s="406">
        <v>80000000</v>
      </c>
      <c r="C103" s="123" t="s">
        <v>568</v>
      </c>
      <c r="D103" s="59"/>
      <c r="E103" s="59"/>
      <c r="F103" s="59"/>
      <c r="G103" s="59"/>
      <c r="H103" s="124">
        <f>(((E103*(1+Parâmetros!B11)*(1+Parâmetros!C11)*(1+Parâmetros!D11))+(F103*(1+Parâmetros!C11)*(1+Parâmetros!D11)+(G103*(1+Parâmetros!D11))))/3)*(1+Parâmetros!E11)</f>
        <v>0</v>
      </c>
      <c r="I103" s="124">
        <f>H103*(1+Parâmetros!F11)</f>
        <v>0</v>
      </c>
      <c r="J103" s="124">
        <f>I103*(1+Parâmetros!G11)</f>
        <v>0</v>
      </c>
    </row>
    <row r="104" spans="1:178" s="10" customFormat="1" ht="30.75" customHeight="1">
      <c r="A104" s="119" t="s">
        <v>337</v>
      </c>
      <c r="B104" s="408" t="s">
        <v>653</v>
      </c>
      <c r="C104" s="120" t="s">
        <v>529</v>
      </c>
      <c r="D104" s="121">
        <f aca="true" t="shared" si="20" ref="D104:J104">D105+D106+D107+D108</f>
        <v>-9068885.716000002</v>
      </c>
      <c r="E104" s="121">
        <f t="shared" si="20"/>
        <v>-9323219.13</v>
      </c>
      <c r="F104" s="121">
        <f t="shared" si="20"/>
        <v>-11482799.409999998</v>
      </c>
      <c r="G104" s="121">
        <f t="shared" si="20"/>
        <v>-10788524.861714289</v>
      </c>
      <c r="H104" s="121">
        <f t="shared" si="20"/>
        <v>-13053270.032022072</v>
      </c>
      <c r="I104" s="121">
        <f t="shared" si="20"/>
        <v>-13670307.392679809</v>
      </c>
      <c r="J104" s="121">
        <f t="shared" si="20"/>
        <v>-14202554.745311536</v>
      </c>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row>
    <row r="105" spans="1:178" ht="12.75">
      <c r="A105" s="122" t="s">
        <v>338</v>
      </c>
      <c r="B105" s="406" t="s">
        <v>654</v>
      </c>
      <c r="C105" s="123" t="s">
        <v>530</v>
      </c>
      <c r="D105" s="433">
        <v>-1357506.82</v>
      </c>
      <c r="E105" s="433">
        <v>-1521581.87</v>
      </c>
      <c r="F105" s="39">
        <v>-1592710.31</v>
      </c>
      <c r="G105" s="39"/>
      <c r="H105" s="124">
        <f>(((E105*(1+Parâmetros!B11)*(1+Parâmetros!C11)*(1+Parâmetros!D11))+(F105*(1+Parâmetros!C11)*(1+Parâmetros!D11)+(G105*(1+Parâmetros!D11))))/3)*(1+Parâmetros!E11)</f>
        <v>-1299842.2539990803</v>
      </c>
      <c r="I105" s="124">
        <f>H105*(1+Parâmetros!F11)</f>
        <v>-1345336.732889048</v>
      </c>
      <c r="J105" s="124">
        <f>I105*(1+Parâmetros!G11)</f>
        <v>-1385696.8348757196</v>
      </c>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row>
    <row r="106" spans="1:178" ht="12.75">
      <c r="A106" s="122" t="s">
        <v>339</v>
      </c>
      <c r="B106" s="406" t="s">
        <v>655</v>
      </c>
      <c r="C106" s="123" t="s">
        <v>340</v>
      </c>
      <c r="D106" s="128">
        <f aca="true" t="shared" si="21" ref="D106:J106">-((D41+D44+D49+D53+D54+D55)*0.2)</f>
        <v>-7639630.996000001</v>
      </c>
      <c r="E106" s="128">
        <f t="shared" si="21"/>
        <v>-7523187.920000001</v>
      </c>
      <c r="F106" s="128">
        <f>-((F41+F44+F49+F53+F54+F55)*0.2)+1.21</f>
        <v>-9887295.979999999</v>
      </c>
      <c r="G106" s="128">
        <f t="shared" si="21"/>
        <v>-10788524.861714289</v>
      </c>
      <c r="H106" s="128">
        <f t="shared" si="21"/>
        <v>-11648187.078058705</v>
      </c>
      <c r="I106" s="128">
        <f t="shared" si="21"/>
        <v>-12216046.535327723</v>
      </c>
      <c r="J106" s="128">
        <f t="shared" si="21"/>
        <v>-12704666.062238889</v>
      </c>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row>
    <row r="107" spans="1:178" ht="25.5">
      <c r="A107" s="122" t="s">
        <v>341</v>
      </c>
      <c r="B107" s="406" t="s">
        <v>656</v>
      </c>
      <c r="C107" s="123" t="s">
        <v>576</v>
      </c>
      <c r="D107" s="431">
        <v>-71747.9</v>
      </c>
      <c r="E107" s="431">
        <f>-1970144.89+1726247.61</f>
        <v>-243897.2799999998</v>
      </c>
      <c r="F107" s="59">
        <f>-(547.7+900+1345.42)</f>
        <v>-2793.12</v>
      </c>
      <c r="G107" s="59"/>
      <c r="H107" s="124">
        <f>(((E107*(1+Parâmetros!B11)*(1+Parâmetros!C11)*(1+Parâmetros!D11))+(F107*(1+Parâmetros!C11)*(1+Parâmetros!D11)+(G107*(1+Parâmetros!D11))))/3)*(1+Parâmetros!E11)</f>
        <v>-105240.69996428702</v>
      </c>
      <c r="I107" s="124">
        <f>H107*(1+Parâmetros!F11)</f>
        <v>-108924.12446303706</v>
      </c>
      <c r="J107" s="124">
        <f>I107*(1+Parâmetros!G11)</f>
        <v>-112191.84819692819</v>
      </c>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row>
    <row r="108" spans="1:178" ht="12.75">
      <c r="A108" s="122" t="s">
        <v>342</v>
      </c>
      <c r="B108" s="406" t="s">
        <v>657</v>
      </c>
      <c r="C108" s="123" t="s">
        <v>531</v>
      </c>
      <c r="D108" s="59"/>
      <c r="E108" s="431">
        <v>-34552.06</v>
      </c>
      <c r="F108" s="59"/>
      <c r="G108" s="59"/>
      <c r="H108" s="124"/>
      <c r="I108" s="124">
        <f>H108*(1+Parâmetros!F11)</f>
        <v>0</v>
      </c>
      <c r="J108" s="124">
        <f>I108*(1+Parâmetros!G11)</f>
        <v>0</v>
      </c>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c r="DS108" s="60"/>
      <c r="DT108" s="60"/>
      <c r="DU108" s="60"/>
      <c r="DV108" s="60"/>
      <c r="DW108" s="60"/>
      <c r="DX108" s="60"/>
      <c r="DY108" s="60"/>
      <c r="DZ108" s="60"/>
      <c r="EA108" s="60"/>
      <c r="EB108" s="60"/>
      <c r="EC108" s="60"/>
      <c r="ED108" s="60"/>
      <c r="EE108" s="60"/>
      <c r="EF108" s="60"/>
      <c r="EG108" s="60"/>
      <c r="EH108" s="60"/>
      <c r="EI108" s="60"/>
      <c r="EJ108" s="60"/>
      <c r="EK108" s="60"/>
      <c r="EL108" s="60"/>
      <c r="EM108" s="60"/>
      <c r="EN108" s="60"/>
      <c r="EO108" s="60"/>
      <c r="EP108" s="60"/>
      <c r="EQ108" s="60"/>
      <c r="ER108" s="60"/>
      <c r="ES108" s="60"/>
      <c r="ET108" s="60"/>
      <c r="EU108" s="60"/>
      <c r="EV108" s="60"/>
      <c r="EW108" s="60"/>
      <c r="EX108" s="60"/>
      <c r="EY108" s="60"/>
      <c r="EZ108" s="60"/>
      <c r="FA108" s="60"/>
      <c r="FB108" s="60"/>
      <c r="FC108" s="60"/>
      <c r="FD108" s="60"/>
      <c r="FE108" s="60"/>
      <c r="FF108" s="60"/>
      <c r="FG108" s="60"/>
      <c r="FH108" s="60"/>
      <c r="FI108" s="60"/>
      <c r="FJ108" s="60"/>
      <c r="FK108" s="60"/>
      <c r="FL108" s="60"/>
      <c r="FM108" s="60"/>
      <c r="FN108" s="60"/>
      <c r="FO108" s="60"/>
      <c r="FP108" s="60"/>
      <c r="FQ108" s="60"/>
      <c r="FR108" s="60"/>
      <c r="FS108" s="60"/>
      <c r="FT108" s="60"/>
      <c r="FU108" s="60"/>
      <c r="FV108" s="60"/>
    </row>
    <row r="109" spans="1:178" ht="12.75">
      <c r="A109" s="129"/>
      <c r="B109" s="410"/>
      <c r="C109" s="130"/>
      <c r="D109" s="127"/>
      <c r="E109" s="127"/>
      <c r="F109" s="127"/>
      <c r="G109" s="127"/>
      <c r="H109" s="124"/>
      <c r="I109" s="124"/>
      <c r="J109" s="124"/>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c r="DS109" s="60"/>
      <c r="DT109" s="60"/>
      <c r="DU109" s="60"/>
      <c r="DV109" s="60"/>
      <c r="DW109" s="60"/>
      <c r="DX109" s="60"/>
      <c r="DY109" s="60"/>
      <c r="DZ109" s="60"/>
      <c r="EA109" s="60"/>
      <c r="EB109" s="60"/>
      <c r="EC109" s="60"/>
      <c r="ED109" s="60"/>
      <c r="EE109" s="60"/>
      <c r="EF109" s="60"/>
      <c r="EG109" s="60"/>
      <c r="EH109" s="60"/>
      <c r="EI109" s="60"/>
      <c r="EJ109" s="60"/>
      <c r="EK109" s="60"/>
      <c r="EL109" s="60"/>
      <c r="EM109" s="60"/>
      <c r="EN109" s="60"/>
      <c r="EO109" s="60"/>
      <c r="EP109" s="60"/>
      <c r="EQ109" s="60"/>
      <c r="ER109" s="60"/>
      <c r="ES109" s="60"/>
      <c r="ET109" s="60"/>
      <c r="EU109" s="60"/>
      <c r="EV109" s="60"/>
      <c r="EW109" s="60"/>
      <c r="EX109" s="60"/>
      <c r="EY109" s="60"/>
      <c r="EZ109" s="60"/>
      <c r="FA109" s="60"/>
      <c r="FB109" s="60"/>
      <c r="FC109" s="60"/>
      <c r="FD109" s="60"/>
      <c r="FE109" s="60"/>
      <c r="FF109" s="60"/>
      <c r="FG109" s="60"/>
      <c r="FH109" s="60"/>
      <c r="FI109" s="60"/>
      <c r="FJ109" s="60"/>
      <c r="FK109" s="60"/>
      <c r="FL109" s="60"/>
      <c r="FM109" s="60"/>
      <c r="FN109" s="60"/>
      <c r="FO109" s="60"/>
      <c r="FP109" s="60"/>
      <c r="FQ109" s="60"/>
      <c r="FR109" s="60"/>
      <c r="FS109" s="60"/>
      <c r="FT109" s="60"/>
      <c r="FU109" s="60"/>
      <c r="FV109" s="60"/>
    </row>
    <row r="110" spans="1:178" s="9" customFormat="1" ht="25.5" customHeight="1">
      <c r="A110" s="131"/>
      <c r="B110" s="417"/>
      <c r="C110" s="132" t="s">
        <v>442</v>
      </c>
      <c r="D110" s="128">
        <f aca="true" t="shared" si="22" ref="D110:J110">D8+D79+D98+D101+D104</f>
        <v>98610194.66399999</v>
      </c>
      <c r="E110" s="128">
        <f t="shared" si="22"/>
        <v>102336821.34000002</v>
      </c>
      <c r="F110" s="128">
        <f t="shared" si="22"/>
        <v>119492876.05999999</v>
      </c>
      <c r="G110" s="128">
        <f t="shared" si="22"/>
        <v>135097412.8954286</v>
      </c>
      <c r="H110" s="128">
        <f t="shared" si="22"/>
        <v>147945490.15134856</v>
      </c>
      <c r="I110" s="128">
        <f t="shared" si="22"/>
        <v>156036142.78851125</v>
      </c>
      <c r="J110" s="128">
        <f t="shared" si="22"/>
        <v>164461718.27953103</v>
      </c>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row>
    <row r="111" spans="1:178" ht="12.75">
      <c r="A111" s="436" t="s">
        <v>669</v>
      </c>
      <c r="B111" s="418"/>
      <c r="C111" s="48"/>
      <c r="D111" s="49"/>
      <c r="E111" s="49"/>
      <c r="F111" s="49"/>
      <c r="G111" s="49"/>
      <c r="H111" s="318"/>
      <c r="I111" s="80"/>
      <c r="J111" s="8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row>
    <row r="112" spans="1:178" ht="15.75">
      <c r="A112" s="561" t="str">
        <f>Parâmetros!A7</f>
        <v>Município de : IVOTI</v>
      </c>
      <c r="B112" s="561"/>
      <c r="C112" s="559"/>
      <c r="D112" s="559"/>
      <c r="E112" s="559"/>
      <c r="F112" s="559"/>
      <c r="G112" s="559"/>
      <c r="H112" s="559"/>
      <c r="I112" s="559"/>
      <c r="J112" s="559"/>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row>
    <row r="113" spans="1:178" ht="15.75">
      <c r="A113" s="560" t="str">
        <f>Parâmetros!A8</f>
        <v>LEI DE DIRETRIZES ORÇAMENTÁRIAS  PARA 2023</v>
      </c>
      <c r="B113" s="560"/>
      <c r="C113" s="559"/>
      <c r="D113" s="559"/>
      <c r="E113" s="559"/>
      <c r="F113" s="559"/>
      <c r="G113" s="559"/>
      <c r="H113" s="559"/>
      <c r="I113" s="559"/>
      <c r="J113" s="559"/>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c r="EX113" s="60"/>
      <c r="EY113" s="60"/>
      <c r="EZ113" s="60"/>
      <c r="FA113" s="60"/>
      <c r="FB113" s="60"/>
      <c r="FC113" s="60"/>
      <c r="FD113" s="60"/>
      <c r="FE113" s="60"/>
      <c r="FF113" s="60"/>
      <c r="FG113" s="60"/>
      <c r="FH113" s="60"/>
      <c r="FI113" s="60"/>
      <c r="FJ113" s="60"/>
      <c r="FK113" s="60"/>
      <c r="FL113" s="60"/>
      <c r="FM113" s="60"/>
      <c r="FN113" s="60"/>
      <c r="FO113" s="60"/>
      <c r="FP113" s="60"/>
      <c r="FQ113" s="60"/>
      <c r="FR113" s="60"/>
      <c r="FS113" s="60"/>
      <c r="FT113" s="60"/>
      <c r="FU113" s="60"/>
      <c r="FV113" s="60"/>
    </row>
    <row r="114" spans="1:178" ht="15.75">
      <c r="A114" s="558" t="s">
        <v>563</v>
      </c>
      <c r="B114" s="558"/>
      <c r="C114" s="559"/>
      <c r="D114" s="559"/>
      <c r="E114" s="559"/>
      <c r="F114" s="559"/>
      <c r="G114" s="559"/>
      <c r="H114" s="559"/>
      <c r="I114" s="559"/>
      <c r="J114" s="559"/>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row>
    <row r="115" spans="1:178" ht="15">
      <c r="A115" s="48"/>
      <c r="B115" s="418"/>
      <c r="C115" s="48"/>
      <c r="D115" s="49"/>
      <c r="E115" s="49"/>
      <c r="F115" s="49"/>
      <c r="G115" s="49"/>
      <c r="H115" s="80"/>
      <c r="I115" s="80"/>
      <c r="J115" s="19" t="s">
        <v>55</v>
      </c>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c r="EX115" s="60"/>
      <c r="EY115" s="60"/>
      <c r="EZ115" s="60"/>
      <c r="FA115" s="60"/>
      <c r="FB115" s="60"/>
      <c r="FC115" s="60"/>
      <c r="FD115" s="60"/>
      <c r="FE115" s="60"/>
      <c r="FF115" s="60"/>
      <c r="FG115" s="60"/>
      <c r="FH115" s="60"/>
      <c r="FI115" s="60"/>
      <c r="FJ115" s="60"/>
      <c r="FK115" s="60"/>
      <c r="FL115" s="60"/>
      <c r="FM115" s="60"/>
      <c r="FN115" s="60"/>
      <c r="FO115" s="60"/>
      <c r="FP115" s="60"/>
      <c r="FQ115" s="60"/>
      <c r="FR115" s="60"/>
      <c r="FS115" s="60"/>
      <c r="FT115" s="60"/>
      <c r="FU115" s="60"/>
      <c r="FV115" s="60"/>
    </row>
    <row r="116" spans="1:178" s="1" customFormat="1" ht="15.75">
      <c r="A116" s="551" t="s">
        <v>660</v>
      </c>
      <c r="B116" s="552"/>
      <c r="C116" s="543" t="s">
        <v>108</v>
      </c>
      <c r="D116" s="134" t="s">
        <v>440</v>
      </c>
      <c r="E116" s="134" t="s">
        <v>440</v>
      </c>
      <c r="F116" s="134" t="s">
        <v>440</v>
      </c>
      <c r="G116" s="135" t="s">
        <v>441</v>
      </c>
      <c r="H116" s="135" t="s">
        <v>12</v>
      </c>
      <c r="I116" s="136" t="s">
        <v>12</v>
      </c>
      <c r="J116" s="137" t="s">
        <v>12</v>
      </c>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row>
    <row r="117" spans="1:178" s="1" customFormat="1" ht="27.75" customHeight="1">
      <c r="A117" s="553"/>
      <c r="B117" s="554"/>
      <c r="C117" s="544"/>
      <c r="D117" s="138">
        <f>D7</f>
        <v>2019</v>
      </c>
      <c r="E117" s="139">
        <f aca="true" t="shared" si="23" ref="E117:J117">D117+1</f>
        <v>2020</v>
      </c>
      <c r="F117" s="139">
        <f t="shared" si="23"/>
        <v>2021</v>
      </c>
      <c r="G117" s="139">
        <f t="shared" si="23"/>
        <v>2022</v>
      </c>
      <c r="H117" s="139">
        <f t="shared" si="23"/>
        <v>2023</v>
      </c>
      <c r="I117" s="139">
        <f t="shared" si="23"/>
        <v>2024</v>
      </c>
      <c r="J117" s="139">
        <f t="shared" si="23"/>
        <v>2025</v>
      </c>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row>
    <row r="118" spans="1:178" s="65" customFormat="1" ht="15.75">
      <c r="A118" s="547" t="s">
        <v>42</v>
      </c>
      <c r="B118" s="546"/>
      <c r="C118" s="427" t="s">
        <v>1</v>
      </c>
      <c r="D118" s="133">
        <f aca="true" t="shared" si="24" ref="D118:J118">D119+D125+D131</f>
        <v>75409270.28</v>
      </c>
      <c r="E118" s="133">
        <f t="shared" si="24"/>
        <v>75734615.19</v>
      </c>
      <c r="F118" s="133">
        <f t="shared" si="24"/>
        <v>82242751.05</v>
      </c>
      <c r="G118" s="133">
        <f t="shared" si="24"/>
        <v>92581586.62428571</v>
      </c>
      <c r="H118" s="133">
        <f t="shared" si="24"/>
        <v>104082052.08639336</v>
      </c>
      <c r="I118" s="133">
        <f t="shared" si="24"/>
        <v>110584400.5055746</v>
      </c>
      <c r="J118" s="133">
        <f t="shared" si="24"/>
        <v>116925926.80576506</v>
      </c>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c r="FA118" s="74"/>
      <c r="FB118" s="74"/>
      <c r="FC118" s="74"/>
      <c r="FD118" s="74"/>
      <c r="FE118" s="74"/>
      <c r="FF118" s="74"/>
      <c r="FG118" s="74"/>
      <c r="FH118" s="74"/>
      <c r="FI118" s="74"/>
      <c r="FJ118" s="74"/>
      <c r="FK118" s="74"/>
      <c r="FL118" s="74"/>
      <c r="FM118" s="74"/>
      <c r="FN118" s="74"/>
      <c r="FO118" s="74"/>
      <c r="FP118" s="74"/>
      <c r="FQ118" s="74"/>
      <c r="FR118" s="74"/>
      <c r="FS118" s="74"/>
      <c r="FT118" s="74"/>
      <c r="FU118" s="74"/>
      <c r="FV118" s="74"/>
    </row>
    <row r="119" spans="1:178" s="65" customFormat="1" ht="15.75">
      <c r="A119" s="547" t="s">
        <v>43</v>
      </c>
      <c r="B119" s="546"/>
      <c r="C119" s="427" t="s">
        <v>44</v>
      </c>
      <c r="D119" s="133">
        <f aca="true" t="shared" si="25" ref="D119:J119">SUM(D120:D124)</f>
        <v>42814968.20000001</v>
      </c>
      <c r="E119" s="133">
        <f t="shared" si="25"/>
        <v>43973869.14</v>
      </c>
      <c r="F119" s="133">
        <f t="shared" si="25"/>
        <v>44188741.93</v>
      </c>
      <c r="G119" s="133">
        <f t="shared" si="25"/>
        <v>48630557.10285714</v>
      </c>
      <c r="H119" s="133">
        <f>SUM(H120:H124)</f>
        <v>57909744.33802059</v>
      </c>
      <c r="I119" s="133">
        <f t="shared" si="25"/>
        <v>60441593.137976944</v>
      </c>
      <c r="J119" s="133">
        <f t="shared" si="25"/>
        <v>62782242.07379502</v>
      </c>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4"/>
      <c r="FU119" s="74"/>
      <c r="FV119" s="74"/>
    </row>
    <row r="120" spans="1:178" s="8" customFormat="1" ht="15">
      <c r="A120" s="545" t="s">
        <v>43</v>
      </c>
      <c r="B120" s="546"/>
      <c r="C120" s="428" t="s">
        <v>343</v>
      </c>
      <c r="D120" s="431">
        <f>30894173.8</f>
        <v>30894173.8</v>
      </c>
      <c r="E120" s="59">
        <f>31799599.66</f>
        <v>31799599.66</v>
      </c>
      <c r="F120" s="59">
        <v>31480644.74</v>
      </c>
      <c r="G120" s="59">
        <f>(20667526.75/7)*12</f>
        <v>35430045.85714286</v>
      </c>
      <c r="H120" s="124">
        <f>(((E120*(1+Parâmetros!B11)*(1+Parâmetros!C11)*(1+Parâmetros!D11))+(F120*(1+Parâmetros!C11)*(1+Parâmetros!D11)+(G120*(1+Parâmetros!D11))))/3)*(1+Parâmetros!E11)*(1+Parâmetros!E13)*(1+Parâmetros!E18)</f>
        <v>43345339.433840826</v>
      </c>
      <c r="I120" s="140">
        <f>H120*(1+Parâmetros!F11)*(1+Parâmetros!F13)*(1+Parâmetros!F18)</f>
        <v>45544335.19399844</v>
      </c>
      <c r="J120" s="140">
        <f>I120*(1+Parâmetros!G11)*(1+Parâmetros!G13)*(1+Parâmetros!G18)</f>
        <v>47623707.361615635</v>
      </c>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c r="FO120" s="74"/>
      <c r="FP120" s="74"/>
      <c r="FQ120" s="74"/>
      <c r="FR120" s="74"/>
      <c r="FS120" s="74"/>
      <c r="FT120" s="74"/>
      <c r="FU120" s="74"/>
      <c r="FV120" s="74"/>
    </row>
    <row r="121" spans="1:178" s="8" customFormat="1" ht="15">
      <c r="A121" s="545" t="s">
        <v>43</v>
      </c>
      <c r="B121" s="546"/>
      <c r="C121" s="428" t="s">
        <v>344</v>
      </c>
      <c r="D121" s="432">
        <v>369113.14</v>
      </c>
      <c r="E121" s="64">
        <v>382994.73</v>
      </c>
      <c r="F121" s="64">
        <v>379962.43</v>
      </c>
      <c r="G121" s="64">
        <v>505000</v>
      </c>
      <c r="H121" s="124">
        <f>(((E121*(1+Parâmetros!B11)*(1+Parâmetros!C11)*(1+Parâmetros!D11))+(F121*(1+Parâmetros!C11)*(1+Parâmetros!D11)+(G121*(1+Parâmetros!D11))))/3)*(1+Parâmetros!E11)*(1+Parâmetros!E13)*(1+Parâmetros!E19)</f>
        <v>513695.7255884806</v>
      </c>
      <c r="I121" s="140">
        <f>H121*(1+Parâmetros!F11)*(1+Parâmetros!F13)*(1+Parâmetros!F19)</f>
        <v>539756.5371390354</v>
      </c>
      <c r="J121" s="140">
        <f>I121*(1+Parâmetros!G11)*(1+Parâmetros!G13)*(1+Parâmetros!G19)</f>
        <v>564399.6615986553</v>
      </c>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c r="FO121" s="74"/>
      <c r="FP121" s="74"/>
      <c r="FQ121" s="74"/>
      <c r="FR121" s="74"/>
      <c r="FS121" s="74"/>
      <c r="FT121" s="74"/>
      <c r="FU121" s="74"/>
      <c r="FV121" s="74"/>
    </row>
    <row r="122" spans="1:178" s="8" customFormat="1" ht="14.25" customHeight="1">
      <c r="A122" s="545" t="s">
        <v>43</v>
      </c>
      <c r="B122" s="546"/>
      <c r="C122" s="428" t="s">
        <v>188</v>
      </c>
      <c r="D122" s="432">
        <f>3898112.79</f>
        <v>3898112.79</v>
      </c>
      <c r="E122" s="64">
        <v>3961110</v>
      </c>
      <c r="F122" s="64">
        <v>4104474.92</v>
      </c>
      <c r="G122" s="64">
        <v>5320000</v>
      </c>
      <c r="H122" s="124">
        <f>(((E122*(1+Parâmetros!B11)*(1+Parâmetros!C11)*(1+Parâmetros!D11))+(F122*(1+Parâmetros!C11)*(1+Parâmetros!D11)+(G122*(1+Parâmetros!D11))))/3)*(1+Parâmetros!E11)*(1+Parâmetros!E13)*(1+Parâmetros!E18)</f>
        <v>5849660.658230093</v>
      </c>
      <c r="I122" s="140">
        <f>H122*(1+Parâmetros!F11)*(1+Parâmetros!F13)*(1+Parâmetros!F18)</f>
        <v>6146425.642743423</v>
      </c>
      <c r="J122" s="140">
        <f>I122*(1+Parâmetros!G11)*(1+Parâmetros!G13)*(1+Parâmetros!G18)</f>
        <v>6427046.851888517</v>
      </c>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row>
    <row r="123" spans="1:178" s="8" customFormat="1" ht="14.25" customHeight="1">
      <c r="A123" s="545" t="s">
        <v>43</v>
      </c>
      <c r="B123" s="546"/>
      <c r="C123" s="428" t="s">
        <v>613</v>
      </c>
      <c r="D123" s="432">
        <v>54226.34</v>
      </c>
      <c r="E123" s="64">
        <v>83037.06</v>
      </c>
      <c r="F123" s="64">
        <v>60124.13</v>
      </c>
      <c r="G123" s="64">
        <v>73401.46</v>
      </c>
      <c r="H123" s="124">
        <f>((E123+F123+G123)/3)*(1+Parâmetros!E11)</f>
        <v>75804.146255</v>
      </c>
      <c r="I123" s="124">
        <f>((F123+G123+H123)/3)*(1+Parâmetros!F11)</f>
        <v>72218.759007975</v>
      </c>
      <c r="J123" s="124">
        <f>((G123+H123+I123)/3)*(1+Parâmetros!G11)</f>
        <v>76022.36540695475</v>
      </c>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4"/>
      <c r="FU123" s="74"/>
      <c r="FV123" s="74"/>
    </row>
    <row r="124" spans="1:178" s="256" customFormat="1" ht="14.25" customHeight="1">
      <c r="A124" s="545" t="s">
        <v>537</v>
      </c>
      <c r="B124" s="546"/>
      <c r="C124" s="428" t="s">
        <v>545</v>
      </c>
      <c r="D124" s="432">
        <f>6488038.55+1111303.58</f>
        <v>7599342.13</v>
      </c>
      <c r="E124" s="64">
        <f>1158307.87+6580852.76+7967.06</f>
        <v>7747127.6899999995</v>
      </c>
      <c r="F124" s="64">
        <f>7001665.9+1161869.81</f>
        <v>8163535.710000001</v>
      </c>
      <c r="G124" s="64">
        <f>30000+((3913590.99/7)*12)+563096.66</f>
        <v>7302109.785714287</v>
      </c>
      <c r="H124" s="124">
        <f>((E124+F124+G124)/3)*(1+Parâmetros!E11)</f>
        <v>8125244.374106192</v>
      </c>
      <c r="I124" s="140">
        <f>((F124+G124+H124)/3)*(1+Parâmetros!F11)</f>
        <v>8138857.005088065</v>
      </c>
      <c r="J124" s="140">
        <f>((G124+H124+I124)/3)*(1+Parâmetros!G11)</f>
        <v>8091065.8332852665</v>
      </c>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c r="CO124" s="255"/>
      <c r="CP124" s="255"/>
      <c r="CQ124" s="255"/>
      <c r="CR124" s="255"/>
      <c r="CS124" s="255"/>
      <c r="CT124" s="255"/>
      <c r="CU124" s="255"/>
      <c r="CV124" s="255"/>
      <c r="CW124" s="255"/>
      <c r="CX124" s="255"/>
      <c r="CY124" s="255"/>
      <c r="CZ124" s="255"/>
      <c r="DA124" s="255"/>
      <c r="DB124" s="255"/>
      <c r="DC124" s="255"/>
      <c r="DD124" s="255"/>
      <c r="DE124" s="255"/>
      <c r="DF124" s="255"/>
      <c r="DG124" s="255"/>
      <c r="DH124" s="255"/>
      <c r="DI124" s="255"/>
      <c r="DJ124" s="255"/>
      <c r="DK124" s="255"/>
      <c r="DL124" s="255"/>
      <c r="DM124" s="255"/>
      <c r="DN124" s="255"/>
      <c r="DO124" s="255"/>
      <c r="DP124" s="255"/>
      <c r="DQ124" s="255"/>
      <c r="DR124" s="255"/>
      <c r="DS124" s="255"/>
      <c r="DT124" s="255"/>
      <c r="DU124" s="255"/>
      <c r="DV124" s="255"/>
      <c r="DW124" s="255"/>
      <c r="DX124" s="255"/>
      <c r="DY124" s="255"/>
      <c r="DZ124" s="255"/>
      <c r="EA124" s="255"/>
      <c r="EB124" s="255"/>
      <c r="EC124" s="255"/>
      <c r="ED124" s="255"/>
      <c r="EE124" s="255"/>
      <c r="EF124" s="255"/>
      <c r="EG124" s="255"/>
      <c r="EH124" s="255"/>
      <c r="EI124" s="255"/>
      <c r="EJ124" s="255"/>
      <c r="EK124" s="255"/>
      <c r="EL124" s="255"/>
      <c r="EM124" s="255"/>
      <c r="EN124" s="255"/>
      <c r="EO124" s="255"/>
      <c r="EP124" s="255"/>
      <c r="EQ124" s="255"/>
      <c r="ER124" s="255"/>
      <c r="ES124" s="255"/>
      <c r="ET124" s="255"/>
      <c r="EU124" s="255"/>
      <c r="EV124" s="255"/>
      <c r="EW124" s="255"/>
      <c r="EX124" s="255"/>
      <c r="EY124" s="255"/>
      <c r="EZ124" s="255"/>
      <c r="FA124" s="255"/>
      <c r="FB124" s="255"/>
      <c r="FC124" s="255"/>
      <c r="FD124" s="255"/>
      <c r="FE124" s="255"/>
      <c r="FF124" s="255"/>
      <c r="FG124" s="255"/>
      <c r="FH124" s="255"/>
      <c r="FI124" s="255"/>
      <c r="FJ124" s="255"/>
      <c r="FK124" s="255"/>
      <c r="FL124" s="255"/>
      <c r="FM124" s="255"/>
      <c r="FN124" s="255"/>
      <c r="FO124" s="255"/>
      <c r="FP124" s="255"/>
      <c r="FQ124" s="255"/>
      <c r="FR124" s="255"/>
      <c r="FS124" s="255"/>
      <c r="FT124" s="255"/>
      <c r="FU124" s="255"/>
      <c r="FV124" s="255"/>
    </row>
    <row r="125" spans="1:178" s="66" customFormat="1" ht="15.75">
      <c r="A125" s="547" t="s">
        <v>45</v>
      </c>
      <c r="B125" s="546"/>
      <c r="C125" s="427" t="s">
        <v>122</v>
      </c>
      <c r="D125" s="133">
        <f aca="true" t="shared" si="26" ref="D125:J125">SUM(D126:D130)</f>
        <v>92379.51</v>
      </c>
      <c r="E125" s="133">
        <f t="shared" si="26"/>
        <v>107332.58</v>
      </c>
      <c r="F125" s="133">
        <f t="shared" si="26"/>
        <v>14158.78</v>
      </c>
      <c r="G125" s="133">
        <f t="shared" si="26"/>
        <v>5000</v>
      </c>
      <c r="H125" s="133">
        <f t="shared" si="26"/>
        <v>56624.785284858415</v>
      </c>
      <c r="I125" s="133">
        <f t="shared" si="26"/>
        <v>61154.76810764709</v>
      </c>
      <c r="J125" s="133">
        <f t="shared" si="26"/>
        <v>65741.37571572061</v>
      </c>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row>
    <row r="126" spans="1:178" ht="15">
      <c r="A126" s="545" t="s">
        <v>45</v>
      </c>
      <c r="B126" s="546"/>
      <c r="C126" s="428" t="s">
        <v>345</v>
      </c>
      <c r="D126" s="432">
        <v>92379.51</v>
      </c>
      <c r="E126" s="435">
        <v>107332.58</v>
      </c>
      <c r="F126" s="59">
        <v>14158.78</v>
      </c>
      <c r="G126" s="59">
        <v>5000</v>
      </c>
      <c r="H126" s="124">
        <f>(((E126*(1+Parâmetros!B11)*(1+Parâmetros!C11)*(1+Parâmetros!D11))+(F126*(1+Parâmetros!C11)*(1+Parâmetros!D11)+(G126*(1+Parâmetros!D11))))/3)*(1+Parâmetros!E21)</f>
        <v>56624.785284858415</v>
      </c>
      <c r="I126" s="140">
        <f>H126*(1+Parâmetros!F21)</f>
        <v>61154.76810764709</v>
      </c>
      <c r="J126" s="140">
        <f>I126*(1+Parâmetros!G21)</f>
        <v>65741.37571572061</v>
      </c>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row>
    <row r="127" spans="1:178" ht="15">
      <c r="A127" s="545" t="s">
        <v>45</v>
      </c>
      <c r="B127" s="546"/>
      <c r="C127" s="428" t="s">
        <v>346</v>
      </c>
      <c r="D127" s="64"/>
      <c r="E127" s="64"/>
      <c r="F127" s="64"/>
      <c r="G127" s="64"/>
      <c r="H127" s="124">
        <f>(((E127*(1+Parâmetros!B11)*(1+Parâmetros!C11)*(1+Parâmetros!D11))+(F127*(1+Parâmetros!C11)*(1+Parâmetros!D11)+(G127*(1+Parâmetros!D11))))/3)*(1+Parâmetros!E21)</f>
        <v>0</v>
      </c>
      <c r="I127" s="140">
        <f>H127*(1+Parâmetros!F21)</f>
        <v>0</v>
      </c>
      <c r="J127" s="140">
        <f>I127*(1+Parâmetros!G21)</f>
        <v>0</v>
      </c>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row>
    <row r="128" spans="1:178" ht="15">
      <c r="A128" s="545" t="s">
        <v>45</v>
      </c>
      <c r="B128" s="546"/>
      <c r="C128" s="428" t="s">
        <v>189</v>
      </c>
      <c r="D128" s="64"/>
      <c r="E128" s="64"/>
      <c r="F128" s="64"/>
      <c r="G128" s="64"/>
      <c r="H128" s="124">
        <f>(((E128*(1+Parâmetros!B11)*(1+Parâmetros!C11)*(1+Parâmetros!D11))+(F128*(1+Parâmetros!C11)*(1+Parâmetros!D11)+(G128*(1+Parâmetros!D11))))/3)*(1+Parâmetros!E21)</f>
        <v>0</v>
      </c>
      <c r="I128" s="140">
        <f>H128*(1+Parâmetros!F21)</f>
        <v>0</v>
      </c>
      <c r="J128" s="140">
        <f>I128*(1+Parâmetros!G21)</f>
        <v>0</v>
      </c>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c r="FS128" s="60"/>
      <c r="FT128" s="60"/>
      <c r="FU128" s="60"/>
      <c r="FV128" s="60"/>
    </row>
    <row r="129" spans="1:178" ht="15.75">
      <c r="A129" s="545" t="s">
        <v>45</v>
      </c>
      <c r="B129" s="546"/>
      <c r="C129" s="428" t="s">
        <v>614</v>
      </c>
      <c r="D129" s="64"/>
      <c r="E129" s="64"/>
      <c r="F129" s="64"/>
      <c r="G129" s="64"/>
      <c r="H129" s="124">
        <f>((E129+F129+G129)/3)*(1+Parâmetros!E11)</f>
        <v>0</v>
      </c>
      <c r="I129" s="124">
        <f>((F129+G129+H129)/3)*(1+Parâmetros!F11)</f>
        <v>0</v>
      </c>
      <c r="J129" s="124">
        <f>((G129+H129+I129)/3)*(1+Parâmetros!G11)</f>
        <v>0</v>
      </c>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row>
    <row r="130" spans="1:178" ht="15.75">
      <c r="A130" s="545" t="s">
        <v>538</v>
      </c>
      <c r="B130" s="546"/>
      <c r="C130" s="428" t="s">
        <v>546</v>
      </c>
      <c r="D130" s="64"/>
      <c r="E130" s="64"/>
      <c r="F130" s="64"/>
      <c r="G130" s="64"/>
      <c r="H130" s="124">
        <f>((E130+F130+G130)/3)*(1+Parâmetros!E11)</f>
        <v>0</v>
      </c>
      <c r="I130" s="124">
        <f>((F130+G130+H130)/3)*(1+Parâmetros!F11)</f>
        <v>0</v>
      </c>
      <c r="J130" s="124">
        <f>((G130+H130+I130)/3)*(1+Parâmetros!G11)</f>
        <v>0</v>
      </c>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c r="EO130" s="60"/>
      <c r="EP130" s="60"/>
      <c r="EQ130" s="60"/>
      <c r="ER130" s="60"/>
      <c r="ES130" s="60"/>
      <c r="ET130" s="60"/>
      <c r="EU130" s="60"/>
      <c r="EV130" s="60"/>
      <c r="EW130" s="60"/>
      <c r="EX130" s="60"/>
      <c r="EY130" s="60"/>
      <c r="EZ130" s="60"/>
      <c r="FA130" s="60"/>
      <c r="FB130" s="60"/>
      <c r="FC130" s="60"/>
      <c r="FD130" s="60"/>
      <c r="FE130" s="60"/>
      <c r="FF130" s="60"/>
      <c r="FG130" s="60"/>
      <c r="FH130" s="60"/>
      <c r="FI130" s="60"/>
      <c r="FJ130" s="60"/>
      <c r="FK130" s="60"/>
      <c r="FL130" s="60"/>
      <c r="FM130" s="60"/>
      <c r="FN130" s="60"/>
      <c r="FO130" s="60"/>
      <c r="FP130" s="60"/>
      <c r="FQ130" s="60"/>
      <c r="FR130" s="60"/>
      <c r="FS130" s="60"/>
      <c r="FT130" s="60"/>
      <c r="FU130" s="60"/>
      <c r="FV130" s="60"/>
    </row>
    <row r="131" spans="1:178" s="65" customFormat="1" ht="15.75">
      <c r="A131" s="547" t="s">
        <v>46</v>
      </c>
      <c r="B131" s="546"/>
      <c r="C131" s="427" t="s">
        <v>47</v>
      </c>
      <c r="D131" s="133">
        <f aca="true" t="shared" si="27" ref="D131:J131">SUM(D132:D136)</f>
        <v>32501922.57</v>
      </c>
      <c r="E131" s="133">
        <f>SUM(E132:E136)</f>
        <v>31653413.470000003</v>
      </c>
      <c r="F131" s="133">
        <f t="shared" si="27"/>
        <v>38039850.339999996</v>
      </c>
      <c r="G131" s="133">
        <f t="shared" si="27"/>
        <v>43946029.52142857</v>
      </c>
      <c r="H131" s="133">
        <f t="shared" si="27"/>
        <v>46115682.96308791</v>
      </c>
      <c r="I131" s="133">
        <f t="shared" si="27"/>
        <v>50081652.59949001</v>
      </c>
      <c r="J131" s="133">
        <f t="shared" si="27"/>
        <v>54077943.35625432</v>
      </c>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74"/>
      <c r="EG131" s="74"/>
      <c r="EH131" s="74"/>
      <c r="EI131" s="74"/>
      <c r="EJ131" s="74"/>
      <c r="EK131" s="74"/>
      <c r="EL131" s="74"/>
      <c r="EM131" s="74"/>
      <c r="EN131" s="74"/>
      <c r="EO131" s="74"/>
      <c r="EP131" s="74"/>
      <c r="EQ131" s="74"/>
      <c r="ER131" s="74"/>
      <c r="ES131" s="74"/>
      <c r="ET131" s="74"/>
      <c r="EU131" s="74"/>
      <c r="EV131" s="74"/>
      <c r="EW131" s="74"/>
      <c r="EX131" s="74"/>
      <c r="EY131" s="74"/>
      <c r="EZ131" s="74"/>
      <c r="FA131" s="74"/>
      <c r="FB131" s="74"/>
      <c r="FC131" s="74"/>
      <c r="FD131" s="74"/>
      <c r="FE131" s="74"/>
      <c r="FF131" s="74"/>
      <c r="FG131" s="74"/>
      <c r="FH131" s="74"/>
      <c r="FI131" s="74"/>
      <c r="FJ131" s="74"/>
      <c r="FK131" s="74"/>
      <c r="FL131" s="74"/>
      <c r="FM131" s="74"/>
      <c r="FN131" s="74"/>
      <c r="FO131" s="74"/>
      <c r="FP131" s="74"/>
      <c r="FQ131" s="74"/>
      <c r="FR131" s="74"/>
      <c r="FS131" s="74"/>
      <c r="FT131" s="74"/>
      <c r="FU131" s="74"/>
      <c r="FV131" s="74"/>
    </row>
    <row r="132" spans="1:178" s="8" customFormat="1" ht="15">
      <c r="A132" s="545" t="s">
        <v>46</v>
      </c>
      <c r="B132" s="546"/>
      <c r="C132" s="428" t="s">
        <v>347</v>
      </c>
      <c r="D132" s="59">
        <v>30258794.36</v>
      </c>
      <c r="E132" s="59">
        <v>28541991.92</v>
      </c>
      <c r="F132" s="59">
        <v>34710364.62</v>
      </c>
      <c r="G132" s="59">
        <f>(22718771/7)*12</f>
        <v>38946464.57142857</v>
      </c>
      <c r="H132" s="124">
        <f>(((E132*(1+Parâmetros!B11)*(1+Parâmetros!C11)*(1+Parâmetros!D11))+(F132*(1+Parâmetros!C11)*(1+Parâmetros!D11)+(G132*(1+Parâmetros!D11))))/3)*(1+Parâmetros!E11)*(1+Parâmetros!E14)</f>
        <v>42053389.73320653</v>
      </c>
      <c r="I132" s="140">
        <f>H132*(1+Parâmetros!F11)*(1+Parâmetros!F14)</f>
        <v>45766281.71449607</v>
      </c>
      <c r="J132" s="140">
        <f>I132*(1+Parâmetros!G11)*(1+Parâmetros!G14)</f>
        <v>49508649.06103045</v>
      </c>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74"/>
      <c r="EG132" s="74"/>
      <c r="EH132" s="74"/>
      <c r="EI132" s="74"/>
      <c r="EJ132" s="74"/>
      <c r="EK132" s="74"/>
      <c r="EL132" s="74"/>
      <c r="EM132" s="74"/>
      <c r="EN132" s="74"/>
      <c r="EO132" s="74"/>
      <c r="EP132" s="74"/>
      <c r="EQ132" s="74"/>
      <c r="ER132" s="74"/>
      <c r="ES132" s="74"/>
      <c r="ET132" s="74"/>
      <c r="EU132" s="74"/>
      <c r="EV132" s="74"/>
      <c r="EW132" s="74"/>
      <c r="EX132" s="74"/>
      <c r="EY132" s="74"/>
      <c r="EZ132" s="74"/>
      <c r="FA132" s="74"/>
      <c r="FB132" s="74"/>
      <c r="FC132" s="74"/>
      <c r="FD132" s="74"/>
      <c r="FE132" s="74"/>
      <c r="FF132" s="74"/>
      <c r="FG132" s="74"/>
      <c r="FH132" s="74"/>
      <c r="FI132" s="74"/>
      <c r="FJ132" s="74"/>
      <c r="FK132" s="74"/>
      <c r="FL132" s="74"/>
      <c r="FM132" s="74"/>
      <c r="FN132" s="74"/>
      <c r="FO132" s="74"/>
      <c r="FP132" s="74"/>
      <c r="FQ132" s="74"/>
      <c r="FR132" s="74"/>
      <c r="FS132" s="74"/>
      <c r="FT132" s="74"/>
      <c r="FU132" s="74"/>
      <c r="FV132" s="74"/>
    </row>
    <row r="133" spans="1:178" s="8" customFormat="1" ht="15">
      <c r="A133" s="545" t="s">
        <v>46</v>
      </c>
      <c r="B133" s="546"/>
      <c r="C133" s="428" t="s">
        <v>348</v>
      </c>
      <c r="D133" s="64">
        <v>98024.62</v>
      </c>
      <c r="E133" s="64">
        <v>114423.38</v>
      </c>
      <c r="F133" s="64">
        <v>114334.61</v>
      </c>
      <c r="G133" s="64">
        <v>295000</v>
      </c>
      <c r="H133" s="124">
        <f>(((E133*(1+Parâmetros!B11)*(1+Parâmetros!C11)*(1+Parâmetros!D11))+(F133*(1+Parâmetros!C11)*(1+Parâmetros!D11)+(G133*(1+Parâmetros!D11))))/3)*(1+Parâmetros!E11)*(1+Parâmetros!E14)</f>
        <v>211243.4465533071</v>
      </c>
      <c r="I133" s="140">
        <f>H133*(1+Parâmetros!F11)*(1+Parâmetros!F14)</f>
        <v>229894.12141646596</v>
      </c>
      <c r="J133" s="140">
        <f>I133*(1+Parâmetros!G11)*(1+Parâmetros!G14)</f>
        <v>248692.85753657087</v>
      </c>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c r="EO133" s="74"/>
      <c r="EP133" s="74"/>
      <c r="EQ133" s="74"/>
      <c r="ER133" s="74"/>
      <c r="ES133" s="74"/>
      <c r="ET133" s="74"/>
      <c r="EU133" s="74"/>
      <c r="EV133" s="74"/>
      <c r="EW133" s="74"/>
      <c r="EX133" s="74"/>
      <c r="EY133" s="74"/>
      <c r="EZ133" s="74"/>
      <c r="FA133" s="74"/>
      <c r="FB133" s="74"/>
      <c r="FC133" s="74"/>
      <c r="FD133" s="74"/>
      <c r="FE133" s="74"/>
      <c r="FF133" s="74"/>
      <c r="FG133" s="74"/>
      <c r="FH133" s="74"/>
      <c r="FI133" s="74"/>
      <c r="FJ133" s="74"/>
      <c r="FK133" s="74"/>
      <c r="FL133" s="74"/>
      <c r="FM133" s="74"/>
      <c r="FN133" s="74"/>
      <c r="FO133" s="74"/>
      <c r="FP133" s="74"/>
      <c r="FQ133" s="74"/>
      <c r="FR133" s="74"/>
      <c r="FS133" s="74"/>
      <c r="FT133" s="74"/>
      <c r="FU133" s="74"/>
      <c r="FV133" s="74"/>
    </row>
    <row r="134" spans="1:178" s="8" customFormat="1" ht="15">
      <c r="A134" s="545" t="s">
        <v>46</v>
      </c>
      <c r="B134" s="546"/>
      <c r="C134" s="428" t="s">
        <v>349</v>
      </c>
      <c r="D134" s="64">
        <v>19085.59</v>
      </c>
      <c r="E134" s="64">
        <v>150041.23</v>
      </c>
      <c r="F134" s="64">
        <v>62088.39</v>
      </c>
      <c r="G134" s="64">
        <v>370000</v>
      </c>
      <c r="H134" s="124">
        <f>(((E134*(1+Parâmetros!B11)*(1+Parâmetros!C11)*(1+Parâmetros!D11))+(F134*(1+Parâmetros!C11)*(1+Parâmetros!D11)+(G134*(1+Parâmetros!D11))))/3)*(1+Parâmetros!E11)*(1+Parâmetros!E14)</f>
        <v>233600.68367440984</v>
      </c>
      <c r="I134" s="140">
        <f>H134*(1+Parâmetros!F11)*(1+Parâmetros!F14)</f>
        <v>254225.2780469676</v>
      </c>
      <c r="J134" s="140">
        <f>I134*(1+Parâmetros!G11)*(1+Parâmetros!G14)</f>
        <v>275013.6039407281</v>
      </c>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row>
    <row r="135" spans="1:178" s="8" customFormat="1" ht="15.75">
      <c r="A135" s="545" t="s">
        <v>46</v>
      </c>
      <c r="B135" s="546"/>
      <c r="C135" s="428" t="s">
        <v>615</v>
      </c>
      <c r="D135" s="64">
        <f>647402.01+1231791.11-1960.14</f>
        <v>1877232.9800000002</v>
      </c>
      <c r="E135" s="64">
        <f>1178525.53+1299921.63</f>
        <v>2478447.16</v>
      </c>
      <c r="F135" s="64">
        <f>1765615.04+1233935.26</f>
        <v>2999550.3</v>
      </c>
      <c r="G135" s="64">
        <f>1909962.79+1892571.73</f>
        <v>3802534.52</v>
      </c>
      <c r="H135" s="124">
        <f>((E135+F135+G135)/3)*(1+Parâmetros!E11)</f>
        <v>3248495.5440660003</v>
      </c>
      <c r="I135" s="124">
        <f>((F135+G135+H135)/3)*(1+Parâmetros!F11)</f>
        <v>3467450.2256027698</v>
      </c>
      <c r="J135" s="124">
        <f>((G135+H135+I135)/3)*(1+Parâmetros!G11)</f>
        <v>3611344.8994529448</v>
      </c>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4"/>
      <c r="DV135" s="74"/>
      <c r="DW135" s="74"/>
      <c r="DX135" s="74"/>
      <c r="DY135" s="74"/>
      <c r="DZ135" s="74"/>
      <c r="EA135" s="74"/>
      <c r="EB135" s="74"/>
      <c r="EC135" s="74"/>
      <c r="ED135" s="74"/>
      <c r="EE135" s="74"/>
      <c r="EF135" s="74"/>
      <c r="EG135" s="74"/>
      <c r="EH135" s="74"/>
      <c r="EI135" s="74"/>
      <c r="EJ135" s="74"/>
      <c r="EK135" s="74"/>
      <c r="EL135" s="74"/>
      <c r="EM135" s="74"/>
      <c r="EN135" s="74"/>
      <c r="EO135" s="74"/>
      <c r="EP135" s="74"/>
      <c r="EQ135" s="74"/>
      <c r="ER135" s="74"/>
      <c r="ES135" s="74"/>
      <c r="ET135" s="74"/>
      <c r="EU135" s="74"/>
      <c r="EV135" s="74"/>
      <c r="EW135" s="74"/>
      <c r="EX135" s="74"/>
      <c r="EY135" s="74"/>
      <c r="EZ135" s="74"/>
      <c r="FA135" s="74"/>
      <c r="FB135" s="74"/>
      <c r="FC135" s="74"/>
      <c r="FD135" s="74"/>
      <c r="FE135" s="74"/>
      <c r="FF135" s="74"/>
      <c r="FG135" s="74"/>
      <c r="FH135" s="74"/>
      <c r="FI135" s="74"/>
      <c r="FJ135" s="74"/>
      <c r="FK135" s="74"/>
      <c r="FL135" s="74"/>
      <c r="FM135" s="74"/>
      <c r="FN135" s="74"/>
      <c r="FO135" s="74"/>
      <c r="FP135" s="74"/>
      <c r="FQ135" s="74"/>
      <c r="FR135" s="74"/>
      <c r="FS135" s="74"/>
      <c r="FT135" s="74"/>
      <c r="FU135" s="74"/>
      <c r="FV135" s="74"/>
    </row>
    <row r="136" spans="1:178" s="8" customFormat="1" ht="15.75">
      <c r="A136" s="545" t="s">
        <v>539</v>
      </c>
      <c r="B136" s="546"/>
      <c r="C136" s="428" t="s">
        <v>547</v>
      </c>
      <c r="D136" s="432">
        <f>246824.88+1960.14</f>
        <v>248785.02000000002</v>
      </c>
      <c r="E136" s="432">
        <f>16678.63+351831.15</f>
        <v>368509.78</v>
      </c>
      <c r="F136" s="64">
        <f>142444.47+11067.95</f>
        <v>153512.42</v>
      </c>
      <c r="G136" s="64">
        <f>14530.43+517500</f>
        <v>532030.43</v>
      </c>
      <c r="H136" s="124">
        <f>((E136+F136+G136)/3)*(1+Parâmetros!E11)</f>
        <v>368953.55558766675</v>
      </c>
      <c r="I136" s="124">
        <f>((F136+G136+H136)/3)*(1+Parâmetros!F11)</f>
        <v>363801.25992774504</v>
      </c>
      <c r="J136" s="124">
        <f>((G136+H136+I136)/3)*(1+Parâmetros!G11)</f>
        <v>434242.9342936247</v>
      </c>
      <c r="K136" s="74"/>
      <c r="L136" s="257" t="s">
        <v>543</v>
      </c>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row>
    <row r="137" spans="1:178" s="65" customFormat="1" ht="15.75">
      <c r="A137" s="547" t="s">
        <v>48</v>
      </c>
      <c r="B137" s="546"/>
      <c r="C137" s="427" t="s">
        <v>2</v>
      </c>
      <c r="D137" s="133">
        <f aca="true" t="shared" si="28" ref="D137:J137">D138+D144+D150</f>
        <v>6358508.21</v>
      </c>
      <c r="E137" s="133">
        <f t="shared" si="28"/>
        <v>5675586.850000001</v>
      </c>
      <c r="F137" s="133">
        <f t="shared" si="28"/>
        <v>13699506.01</v>
      </c>
      <c r="G137" s="133">
        <f t="shared" si="28"/>
        <v>12721950.27</v>
      </c>
      <c r="H137" s="133">
        <f t="shared" si="28"/>
        <v>14750577.796564082</v>
      </c>
      <c r="I137" s="133">
        <f t="shared" si="28"/>
        <v>18037995.787624773</v>
      </c>
      <c r="J137" s="133">
        <f t="shared" si="28"/>
        <v>22087595.568406563</v>
      </c>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4"/>
      <c r="FF137" s="74"/>
      <c r="FG137" s="74"/>
      <c r="FH137" s="74"/>
      <c r="FI137" s="74"/>
      <c r="FJ137" s="74"/>
      <c r="FK137" s="74"/>
      <c r="FL137" s="74"/>
      <c r="FM137" s="74"/>
      <c r="FN137" s="74"/>
      <c r="FO137" s="74"/>
      <c r="FP137" s="74"/>
      <c r="FQ137" s="74"/>
      <c r="FR137" s="74"/>
      <c r="FS137" s="74"/>
      <c r="FT137" s="74"/>
      <c r="FU137" s="74"/>
      <c r="FV137" s="74"/>
    </row>
    <row r="138" spans="1:178" s="65" customFormat="1" ht="15.75">
      <c r="A138" s="547" t="s">
        <v>49</v>
      </c>
      <c r="B138" s="546"/>
      <c r="C138" s="427" t="s">
        <v>3</v>
      </c>
      <c r="D138" s="133">
        <f aca="true" t="shared" si="29" ref="D138:J138">SUM(D139:D143)</f>
        <v>5948623.13</v>
      </c>
      <c r="E138" s="133">
        <f t="shared" si="29"/>
        <v>4916608.65</v>
      </c>
      <c r="F138" s="133">
        <f t="shared" si="29"/>
        <v>13362006.01</v>
      </c>
      <c r="G138" s="133">
        <f t="shared" si="29"/>
        <v>12384450.27</v>
      </c>
      <c r="H138" s="133">
        <f t="shared" si="29"/>
        <v>14163584.728889849</v>
      </c>
      <c r="I138" s="133">
        <f t="shared" si="29"/>
        <v>17430457.96258194</v>
      </c>
      <c r="J138" s="133">
        <f t="shared" si="29"/>
        <v>21461831.608612448</v>
      </c>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row>
    <row r="139" spans="1:178" s="8" customFormat="1" ht="15">
      <c r="A139" s="545" t="s">
        <v>49</v>
      </c>
      <c r="B139" s="546"/>
      <c r="C139" s="428" t="s">
        <v>350</v>
      </c>
      <c r="D139" s="59">
        <v>4762653.83</v>
      </c>
      <c r="E139" s="59">
        <v>4117332.31</v>
      </c>
      <c r="F139" s="59">
        <v>12713670.24</v>
      </c>
      <c r="G139" s="59">
        <v>10195200</v>
      </c>
      <c r="H139" s="124">
        <f>(((E139*(1+Parâmetros!B11)*(1+Parâmetros!C11)*(1+Parâmetros!D11))+(F139*(1+Parâmetros!C11)*(1+Parâmetros!D11)+(G139*(1+Parâmetros!D11))))/3)*(1+Parâmetros!E11)*(1+Parâmetros!E20)</f>
        <v>12878292.172394617</v>
      </c>
      <c r="I139" s="140">
        <f>H139*(1+Parâmetros!F11)*(1+Parâmetros!F20)</f>
        <v>15994838.878114112</v>
      </c>
      <c r="J139" s="140">
        <f>I139*(1+Parâmetros!G11)*(1+Parâmetros!G20)</f>
        <v>19769620.85334904</v>
      </c>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4"/>
      <c r="FU139" s="74"/>
      <c r="FV139" s="74"/>
    </row>
    <row r="140" spans="1:178" s="8" customFormat="1" ht="15">
      <c r="A140" s="545" t="s">
        <v>49</v>
      </c>
      <c r="B140" s="546"/>
      <c r="C140" s="428" t="s">
        <v>351</v>
      </c>
      <c r="D140" s="59">
        <v>1099</v>
      </c>
      <c r="E140" s="59">
        <v>16950.9</v>
      </c>
      <c r="F140" s="59"/>
      <c r="G140" s="59">
        <v>100000</v>
      </c>
      <c r="H140" s="124">
        <f>(((E140*(1+Parâmetros!B11)*(1+Parâmetros!C11)*(1+Parâmetros!D11))+(F140*(1+Parâmetros!C11)*(1+Parâmetros!D11)+(G140*(1+Parâmetros!D11))))/3)*(1+Parâmetros!E11)*(1+Parâmetros!E20)</f>
        <v>53206.208112566295</v>
      </c>
      <c r="I140" s="140">
        <f>H140*(1+Parâmetros!F11)*(1+Parâmetros!F20)</f>
        <v>66082.11047580733</v>
      </c>
      <c r="J140" s="140">
        <f>I140*(1+Parâmetros!G11)*(1+Parâmetros!G20)</f>
        <v>81677.48854809787</v>
      </c>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74"/>
      <c r="EM140" s="74"/>
      <c r="EN140" s="74"/>
      <c r="EO140" s="74"/>
      <c r="EP140" s="74"/>
      <c r="EQ140" s="74"/>
      <c r="ER140" s="74"/>
      <c r="ES140" s="74"/>
      <c r="ET140" s="74"/>
      <c r="EU140" s="74"/>
      <c r="EV140" s="74"/>
      <c r="EW140" s="74"/>
      <c r="EX140" s="74"/>
      <c r="EY140" s="74"/>
      <c r="EZ140" s="74"/>
      <c r="FA140" s="74"/>
      <c r="FB140" s="74"/>
      <c r="FC140" s="74"/>
      <c r="FD140" s="74"/>
      <c r="FE140" s="74"/>
      <c r="FF140" s="74"/>
      <c r="FG140" s="74"/>
      <c r="FH140" s="74"/>
      <c r="FI140" s="74"/>
      <c r="FJ140" s="74"/>
      <c r="FK140" s="74"/>
      <c r="FL140" s="74"/>
      <c r="FM140" s="74"/>
      <c r="FN140" s="74"/>
      <c r="FO140" s="74"/>
      <c r="FP140" s="74"/>
      <c r="FQ140" s="74"/>
      <c r="FR140" s="74"/>
      <c r="FS140" s="74"/>
      <c r="FT140" s="74"/>
      <c r="FU140" s="74"/>
      <c r="FV140" s="74"/>
    </row>
    <row r="141" spans="1:178" s="8" customFormat="1" ht="15">
      <c r="A141" s="545" t="s">
        <v>49</v>
      </c>
      <c r="B141" s="546"/>
      <c r="C141" s="428" t="s">
        <v>616</v>
      </c>
      <c r="D141" s="59"/>
      <c r="E141" s="59"/>
      <c r="F141" s="59"/>
      <c r="G141" s="59"/>
      <c r="H141" s="124">
        <f>(((E141*(1+Parâmetros!B11)*(1+Parâmetros!C11)*(1+Parâmetros!D11))+(F141*(1+Parâmetros!C11)*(1+Parâmetros!D11)+(G141*(1+Parâmetros!D11))))/3)*(1+Parâmetros!E11)*(1+Parâmetros!E20)</f>
        <v>0</v>
      </c>
      <c r="I141" s="140">
        <f>H141*(1+Parâmetros!F11)*(1+Parâmetros!F20)</f>
        <v>0</v>
      </c>
      <c r="J141" s="140">
        <f>I141*(1+Parâmetros!G11)*(1+Parâmetros!G20)</f>
        <v>0</v>
      </c>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74"/>
      <c r="EM141" s="74"/>
      <c r="EN141" s="74"/>
      <c r="EO141" s="74"/>
      <c r="EP141" s="74"/>
      <c r="EQ141" s="74"/>
      <c r="ER141" s="74"/>
      <c r="ES141" s="74"/>
      <c r="ET141" s="74"/>
      <c r="EU141" s="74"/>
      <c r="EV141" s="74"/>
      <c r="EW141" s="74"/>
      <c r="EX141" s="74"/>
      <c r="EY141" s="74"/>
      <c r="EZ141" s="74"/>
      <c r="FA141" s="74"/>
      <c r="FB141" s="74"/>
      <c r="FC141" s="74"/>
      <c r="FD141" s="74"/>
      <c r="FE141" s="74"/>
      <c r="FF141" s="74"/>
      <c r="FG141" s="74"/>
      <c r="FH141" s="74"/>
      <c r="FI141" s="74"/>
      <c r="FJ141" s="74"/>
      <c r="FK141" s="74"/>
      <c r="FL141" s="74"/>
      <c r="FM141" s="74"/>
      <c r="FN141" s="74"/>
      <c r="FO141" s="74"/>
      <c r="FP141" s="74"/>
      <c r="FQ141" s="74"/>
      <c r="FR141" s="74"/>
      <c r="FS141" s="74"/>
      <c r="FT141" s="74"/>
      <c r="FU141" s="74"/>
      <c r="FV141" s="74"/>
    </row>
    <row r="142" spans="1:178" s="8" customFormat="1" ht="15.75">
      <c r="A142" s="545" t="s">
        <v>540</v>
      </c>
      <c r="B142" s="546"/>
      <c r="C142" s="428" t="s">
        <v>618</v>
      </c>
      <c r="D142" s="59">
        <f>1041554.31+143315.99</f>
        <v>1184870.3</v>
      </c>
      <c r="E142" s="59">
        <f>549460.91+232864.53</f>
        <v>782325.4400000001</v>
      </c>
      <c r="F142" s="59">
        <f>526152.89+122182.88</f>
        <v>648335.77</v>
      </c>
      <c r="G142" s="59">
        <f>1715025.2+374225.07</f>
        <v>2089250.27</v>
      </c>
      <c r="H142" s="124">
        <f>((E142+F142+G142)/3)*(1+Parâmetros!E11)</f>
        <v>1232086.3483826667</v>
      </c>
      <c r="I142" s="124">
        <f>((F142+G142+H142)/3)*(1+Parâmetros!F11)</f>
        <v>1369536.97399202</v>
      </c>
      <c r="J142" s="124">
        <f>((G142+H142+I142)/3)*(1+Parâmetros!G11)</f>
        <v>1610533.266715309</v>
      </c>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74"/>
      <c r="EM142" s="74"/>
      <c r="EN142" s="74"/>
      <c r="EO142" s="74"/>
      <c r="EP142" s="74"/>
      <c r="EQ142" s="74"/>
      <c r="ER142" s="74"/>
      <c r="ES142" s="74"/>
      <c r="ET142" s="74"/>
      <c r="EU142" s="74"/>
      <c r="EV142" s="74"/>
      <c r="EW142" s="74"/>
      <c r="EX142" s="74"/>
      <c r="EY142" s="74"/>
      <c r="EZ142" s="74"/>
      <c r="FA142" s="74"/>
      <c r="FB142" s="74"/>
      <c r="FC142" s="74"/>
      <c r="FD142" s="74"/>
      <c r="FE142" s="74"/>
      <c r="FF142" s="74"/>
      <c r="FG142" s="74"/>
      <c r="FH142" s="74"/>
      <c r="FI142" s="74"/>
      <c r="FJ142" s="74"/>
      <c r="FK142" s="74"/>
      <c r="FL142" s="74"/>
      <c r="FM142" s="74"/>
      <c r="FN142" s="74"/>
      <c r="FO142" s="74"/>
      <c r="FP142" s="74"/>
      <c r="FQ142" s="74"/>
      <c r="FR142" s="74"/>
      <c r="FS142" s="74"/>
      <c r="FT142" s="74"/>
      <c r="FU142" s="74"/>
      <c r="FV142" s="74"/>
    </row>
    <row r="143" spans="1:178" s="8" customFormat="1" ht="15.75">
      <c r="A143" s="545" t="s">
        <v>540</v>
      </c>
      <c r="B143" s="546"/>
      <c r="C143" s="428" t="s">
        <v>617</v>
      </c>
      <c r="D143" s="59"/>
      <c r="E143" s="59"/>
      <c r="F143" s="59"/>
      <c r="G143" s="59"/>
      <c r="H143" s="124">
        <f>((E143+F143+G143)/3)*(1+Parâmetros!E11)</f>
        <v>0</v>
      </c>
      <c r="I143" s="124">
        <f>((F143+G143+H143)/3)*(1+Parâmetros!F11)</f>
        <v>0</v>
      </c>
      <c r="J143" s="124">
        <f>((G143+H143+I143)/3)*(1+Parâmetros!G11)</f>
        <v>0</v>
      </c>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4"/>
      <c r="FU143" s="74"/>
      <c r="FV143" s="74"/>
    </row>
    <row r="144" spans="1:178" s="65" customFormat="1" ht="15.75">
      <c r="A144" s="547" t="s">
        <v>50</v>
      </c>
      <c r="B144" s="546"/>
      <c r="C144" s="427" t="s">
        <v>4</v>
      </c>
      <c r="D144" s="133">
        <f aca="true" t="shared" si="30" ref="D144:J144">SUM(D145:D149)</f>
        <v>0</v>
      </c>
      <c r="E144" s="133">
        <f t="shared" si="30"/>
        <v>0</v>
      </c>
      <c r="F144" s="133">
        <f t="shared" si="30"/>
        <v>0</v>
      </c>
      <c r="G144" s="133">
        <f t="shared" si="30"/>
        <v>0</v>
      </c>
      <c r="H144" s="133">
        <f t="shared" si="30"/>
        <v>0</v>
      </c>
      <c r="I144" s="133">
        <f t="shared" si="30"/>
        <v>0</v>
      </c>
      <c r="J144" s="133">
        <f t="shared" si="30"/>
        <v>0</v>
      </c>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74"/>
      <c r="EM144" s="74"/>
      <c r="EN144" s="74"/>
      <c r="EO144" s="74"/>
      <c r="EP144" s="74"/>
      <c r="EQ144" s="74"/>
      <c r="ER144" s="74"/>
      <c r="ES144" s="74"/>
      <c r="ET144" s="74"/>
      <c r="EU144" s="74"/>
      <c r="EV144" s="74"/>
      <c r="EW144" s="74"/>
      <c r="EX144" s="74"/>
      <c r="EY144" s="74"/>
      <c r="EZ144" s="74"/>
      <c r="FA144" s="74"/>
      <c r="FB144" s="74"/>
      <c r="FC144" s="74"/>
      <c r="FD144" s="74"/>
      <c r="FE144" s="74"/>
      <c r="FF144" s="74"/>
      <c r="FG144" s="74"/>
      <c r="FH144" s="74"/>
      <c r="FI144" s="74"/>
      <c r="FJ144" s="74"/>
      <c r="FK144" s="74"/>
      <c r="FL144" s="74"/>
      <c r="FM144" s="74"/>
      <c r="FN144" s="74"/>
      <c r="FO144" s="74"/>
      <c r="FP144" s="74"/>
      <c r="FQ144" s="74"/>
      <c r="FR144" s="74"/>
      <c r="FS144" s="74"/>
      <c r="FT144" s="74"/>
      <c r="FU144" s="74"/>
      <c r="FV144" s="74"/>
    </row>
    <row r="145" spans="1:178" ht="15">
      <c r="A145" s="545" t="s">
        <v>51</v>
      </c>
      <c r="B145" s="546"/>
      <c r="C145" s="428" t="s">
        <v>52</v>
      </c>
      <c r="D145" s="59"/>
      <c r="E145" s="59"/>
      <c r="F145" s="59"/>
      <c r="G145" s="59"/>
      <c r="H145" s="124">
        <f>(((E145*(1+Parâmetros!B11)*(1+Parâmetros!C11)*(1+Parâmetros!D11))+(F145*(1+Parâmetros!C11)*(1+Parâmetros!D11)+(G145*(1+Parâmetros!D11))))/3)*(1+Parâmetros!E11)</f>
        <v>0</v>
      </c>
      <c r="I145" s="140">
        <f>H145*(1+Parâmetros!F11)</f>
        <v>0</v>
      </c>
      <c r="J145" s="140">
        <f>I145*(1+Parâmetros!G11)</f>
        <v>0</v>
      </c>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row>
    <row r="146" spans="1:178" ht="15">
      <c r="A146" s="545" t="s">
        <v>352</v>
      </c>
      <c r="B146" s="546"/>
      <c r="C146" s="428" t="s">
        <v>353</v>
      </c>
      <c r="D146" s="64"/>
      <c r="E146" s="64"/>
      <c r="F146" s="64"/>
      <c r="G146" s="64"/>
      <c r="H146" s="124">
        <f>(((E146*(1+Parâmetros!B11)*(1+Parâmetros!C11)*(1+Parâmetros!D11))+(F146*(1+Parâmetros!C11)*(1+Parâmetros!D11)+(G146*(1+Parâmetros!D11))))/3)*(1+Parâmetros!E11)</f>
        <v>0</v>
      </c>
      <c r="I146" s="140">
        <f>H146*(1+Parâmetros!F11)</f>
        <v>0</v>
      </c>
      <c r="J146" s="140">
        <f>I146*(1+Parâmetros!G11)</f>
        <v>0</v>
      </c>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row>
    <row r="147" spans="1:178" ht="15">
      <c r="A147" s="545" t="s">
        <v>352</v>
      </c>
      <c r="B147" s="546"/>
      <c r="C147" s="428" t="s">
        <v>354</v>
      </c>
      <c r="D147" s="64"/>
      <c r="E147" s="64"/>
      <c r="F147" s="64"/>
      <c r="G147" s="64"/>
      <c r="H147" s="124">
        <f>(((E147*(1+Parâmetros!B11)*(1+Parâmetros!C11)*(1+Parâmetros!D11))+(F147*(1+Parâmetros!C11)*(1+Parâmetros!D11)+(G147*(1+Parâmetros!D11))))/3)*(1+Parâmetros!E11)</f>
        <v>0</v>
      </c>
      <c r="I147" s="140">
        <f>H147*(1+Parâmetros!F11)</f>
        <v>0</v>
      </c>
      <c r="J147" s="140">
        <f>I147*(1+Parâmetros!G11)</f>
        <v>0</v>
      </c>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row>
    <row r="148" spans="1:178" ht="15.75">
      <c r="A148" s="545" t="s">
        <v>352</v>
      </c>
      <c r="B148" s="546"/>
      <c r="C148" s="428" t="s">
        <v>619</v>
      </c>
      <c r="D148" s="64"/>
      <c r="E148" s="64"/>
      <c r="F148" s="64"/>
      <c r="G148" s="64"/>
      <c r="H148" s="124">
        <f>((E148+F148+G148)/3)*(1+Parâmetros!E11)</f>
        <v>0</v>
      </c>
      <c r="I148" s="124">
        <f>((F148+G148+H148)/3)*(1+Parâmetros!F11)</f>
        <v>0</v>
      </c>
      <c r="J148" s="124">
        <f>((G148+H148+I148)/3)*(1+Parâmetros!G11)</f>
        <v>0</v>
      </c>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row>
    <row r="149" spans="1:178" ht="15.75">
      <c r="A149" s="545" t="s">
        <v>541</v>
      </c>
      <c r="B149" s="546"/>
      <c r="C149" s="428" t="s">
        <v>548</v>
      </c>
      <c r="D149" s="64"/>
      <c r="E149" s="64"/>
      <c r="F149" s="64"/>
      <c r="G149" s="64"/>
      <c r="H149" s="124">
        <f>((E149+F149+G149)/3)*(1+Parâmetros!E11)</f>
        <v>0</v>
      </c>
      <c r="I149" s="124">
        <f>((F149+G149+H149)/3)*(1+Parâmetros!F11)</f>
        <v>0</v>
      </c>
      <c r="J149" s="124">
        <f>((G149+H149+I149)/3)*(1+Parâmetros!G11)</f>
        <v>0</v>
      </c>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row>
    <row r="150" spans="1:178" s="65" customFormat="1" ht="15.75">
      <c r="A150" s="547" t="s">
        <v>53</v>
      </c>
      <c r="B150" s="546"/>
      <c r="C150" s="427" t="s">
        <v>54</v>
      </c>
      <c r="D150" s="133">
        <f aca="true" t="shared" si="31" ref="D150:J150">SUM(D151:D155)</f>
        <v>409885.08</v>
      </c>
      <c r="E150" s="133">
        <f t="shared" si="31"/>
        <v>758978.2</v>
      </c>
      <c r="F150" s="133">
        <f t="shared" si="31"/>
        <v>337500</v>
      </c>
      <c r="G150" s="133">
        <f t="shared" si="31"/>
        <v>337500</v>
      </c>
      <c r="H150" s="133">
        <f t="shared" si="31"/>
        <v>586993.067674233</v>
      </c>
      <c r="I150" s="133">
        <f t="shared" si="31"/>
        <v>607537.8250428311</v>
      </c>
      <c r="J150" s="133">
        <f t="shared" si="31"/>
        <v>625763.9597941161</v>
      </c>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74"/>
      <c r="EM150" s="74"/>
      <c r="EN150" s="74"/>
      <c r="EO150" s="74"/>
      <c r="EP150" s="74"/>
      <c r="EQ150" s="74"/>
      <c r="ER150" s="74"/>
      <c r="ES150" s="74"/>
      <c r="ET150" s="74"/>
      <c r="EU150" s="74"/>
      <c r="EV150" s="74"/>
      <c r="EW150" s="74"/>
      <c r="EX150" s="74"/>
      <c r="EY150" s="74"/>
      <c r="EZ150" s="74"/>
      <c r="FA150" s="74"/>
      <c r="FB150" s="74"/>
      <c r="FC150" s="74"/>
      <c r="FD150" s="74"/>
      <c r="FE150" s="74"/>
      <c r="FF150" s="74"/>
      <c r="FG150" s="74"/>
      <c r="FH150" s="74"/>
      <c r="FI150" s="74"/>
      <c r="FJ150" s="74"/>
      <c r="FK150" s="74"/>
      <c r="FL150" s="74"/>
      <c r="FM150" s="74"/>
      <c r="FN150" s="74"/>
      <c r="FO150" s="74"/>
      <c r="FP150" s="74"/>
      <c r="FQ150" s="74"/>
      <c r="FR150" s="74"/>
      <c r="FS150" s="74"/>
      <c r="FT150" s="74"/>
      <c r="FU150" s="74"/>
      <c r="FV150" s="74"/>
    </row>
    <row r="151" spans="1:178" s="8" customFormat="1" ht="15">
      <c r="A151" s="545" t="s">
        <v>53</v>
      </c>
      <c r="B151" s="546"/>
      <c r="C151" s="428" t="s">
        <v>355</v>
      </c>
      <c r="D151" s="432">
        <v>409885.08</v>
      </c>
      <c r="E151" s="431">
        <v>758978.2</v>
      </c>
      <c r="F151" s="59">
        <v>337500</v>
      </c>
      <c r="G151" s="59">
        <v>337500</v>
      </c>
      <c r="H151" s="124">
        <f>(((E151*(1+Parâmetros!B11)*(1+Parâmetros!C11)*(1+Parâmetros!D11))+(F151*(1+Parâmetros!C11)*(1+Parâmetros!D11)+(G151*(1+Parâmetros!D11))))/3)*(1+Parâmetros!E11)</f>
        <v>586993.067674233</v>
      </c>
      <c r="I151" s="140">
        <f>H151*(1+Parâmetros!F11)</f>
        <v>607537.8250428311</v>
      </c>
      <c r="J151" s="140">
        <f>I151*(1+Parâmetros!G11)</f>
        <v>625763.9597941161</v>
      </c>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74"/>
      <c r="EM151" s="74"/>
      <c r="EN151" s="74"/>
      <c r="EO151" s="74"/>
      <c r="EP151" s="74"/>
      <c r="EQ151" s="74"/>
      <c r="ER151" s="74"/>
      <c r="ES151" s="74"/>
      <c r="ET151" s="74"/>
      <c r="EU151" s="74"/>
      <c r="EV151" s="74"/>
      <c r="EW151" s="74"/>
      <c r="EX151" s="74"/>
      <c r="EY151" s="74"/>
      <c r="EZ151" s="74"/>
      <c r="FA151" s="74"/>
      <c r="FB151" s="74"/>
      <c r="FC151" s="74"/>
      <c r="FD151" s="74"/>
      <c r="FE151" s="74"/>
      <c r="FF151" s="74"/>
      <c r="FG151" s="74"/>
      <c r="FH151" s="74"/>
      <c r="FI151" s="74"/>
      <c r="FJ151" s="74"/>
      <c r="FK151" s="74"/>
      <c r="FL151" s="74"/>
      <c r="FM151" s="74"/>
      <c r="FN151" s="74"/>
      <c r="FO151" s="74"/>
      <c r="FP151" s="74"/>
      <c r="FQ151" s="74"/>
      <c r="FR151" s="74"/>
      <c r="FS151" s="74"/>
      <c r="FT151" s="74"/>
      <c r="FU151" s="74"/>
      <c r="FV151" s="74"/>
    </row>
    <row r="152" spans="1:178" s="8" customFormat="1" ht="15">
      <c r="A152" s="545" t="s">
        <v>53</v>
      </c>
      <c r="B152" s="546"/>
      <c r="C152" s="428" t="s">
        <v>356</v>
      </c>
      <c r="D152" s="64"/>
      <c r="E152" s="64"/>
      <c r="F152" s="64"/>
      <c r="G152" s="64"/>
      <c r="H152" s="124">
        <f>(((E152*(1+Parâmetros!B11)*(1+Parâmetros!C11)*(1+Parâmetros!D11))+(F152*(1+Parâmetros!C11)*(1+Parâmetros!D11)+(G152*(1+Parâmetros!D11))))/3)*(1+Parâmetros!E11)</f>
        <v>0</v>
      </c>
      <c r="I152" s="140">
        <f>H152*(1+Parâmetros!F11)</f>
        <v>0</v>
      </c>
      <c r="J152" s="140">
        <f>I152*(1+Parâmetros!G11)</f>
        <v>0</v>
      </c>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c r="DA152" s="74"/>
      <c r="DB152" s="74"/>
      <c r="DC152" s="74"/>
      <c r="DD152" s="74"/>
      <c r="DE152" s="74"/>
      <c r="DF152" s="74"/>
      <c r="DG152" s="74"/>
      <c r="DH152" s="74"/>
      <c r="DI152" s="74"/>
      <c r="DJ152" s="74"/>
      <c r="DK152" s="74"/>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74"/>
      <c r="EM152" s="74"/>
      <c r="EN152" s="74"/>
      <c r="EO152" s="74"/>
      <c r="EP152" s="74"/>
      <c r="EQ152" s="74"/>
      <c r="ER152" s="74"/>
      <c r="ES152" s="74"/>
      <c r="ET152" s="74"/>
      <c r="EU152" s="74"/>
      <c r="EV152" s="74"/>
      <c r="EW152" s="74"/>
      <c r="EX152" s="74"/>
      <c r="EY152" s="74"/>
      <c r="EZ152" s="74"/>
      <c r="FA152" s="74"/>
      <c r="FB152" s="74"/>
      <c r="FC152" s="74"/>
      <c r="FD152" s="74"/>
      <c r="FE152" s="74"/>
      <c r="FF152" s="74"/>
      <c r="FG152" s="74"/>
      <c r="FH152" s="74"/>
      <c r="FI152" s="74"/>
      <c r="FJ152" s="74"/>
      <c r="FK152" s="74"/>
      <c r="FL152" s="74"/>
      <c r="FM152" s="74"/>
      <c r="FN152" s="74"/>
      <c r="FO152" s="74"/>
      <c r="FP152" s="74"/>
      <c r="FQ152" s="74"/>
      <c r="FR152" s="74"/>
      <c r="FS152" s="74"/>
      <c r="FT152" s="74"/>
      <c r="FU152" s="74"/>
      <c r="FV152" s="74"/>
    </row>
    <row r="153" spans="1:178" s="8" customFormat="1" ht="15">
      <c r="A153" s="545" t="s">
        <v>53</v>
      </c>
      <c r="B153" s="546"/>
      <c r="C153" s="428" t="s">
        <v>357</v>
      </c>
      <c r="D153" s="64"/>
      <c r="E153" s="64"/>
      <c r="F153" s="64"/>
      <c r="G153" s="64"/>
      <c r="H153" s="124">
        <f>(((E153*(1+Parâmetros!B11)*(1+Parâmetros!C11)*(1+Parâmetros!D11))+(F153*(1+Parâmetros!C11)*(1+Parâmetros!D11)+(G153*(1+Parâmetros!D11))))/3)*(1+Parâmetros!E11)</f>
        <v>0</v>
      </c>
      <c r="I153" s="140">
        <f>H153*(1+Parâmetros!F11)</f>
        <v>0</v>
      </c>
      <c r="J153" s="140">
        <f>I153*(1+Parâmetros!G11)</f>
        <v>0</v>
      </c>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74"/>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74"/>
      <c r="EM153" s="74"/>
      <c r="EN153" s="74"/>
      <c r="EO153" s="74"/>
      <c r="EP153" s="74"/>
      <c r="EQ153" s="74"/>
      <c r="ER153" s="74"/>
      <c r="ES153" s="74"/>
      <c r="ET153" s="74"/>
      <c r="EU153" s="74"/>
      <c r="EV153" s="74"/>
      <c r="EW153" s="74"/>
      <c r="EX153" s="74"/>
      <c r="EY153" s="74"/>
      <c r="EZ153" s="74"/>
      <c r="FA153" s="74"/>
      <c r="FB153" s="74"/>
      <c r="FC153" s="74"/>
      <c r="FD153" s="74"/>
      <c r="FE153" s="74"/>
      <c r="FF153" s="74"/>
      <c r="FG153" s="74"/>
      <c r="FH153" s="74"/>
      <c r="FI153" s="74"/>
      <c r="FJ153" s="74"/>
      <c r="FK153" s="74"/>
      <c r="FL153" s="74"/>
      <c r="FM153" s="74"/>
      <c r="FN153" s="74"/>
      <c r="FO153" s="74"/>
      <c r="FP153" s="74"/>
      <c r="FQ153" s="74"/>
      <c r="FR153" s="74"/>
      <c r="FS153" s="74"/>
      <c r="FT153" s="74"/>
      <c r="FU153" s="74"/>
      <c r="FV153" s="74"/>
    </row>
    <row r="154" spans="1:178" s="8" customFormat="1" ht="15.75">
      <c r="A154" s="545" t="s">
        <v>53</v>
      </c>
      <c r="B154" s="546"/>
      <c r="C154" s="428" t="s">
        <v>620</v>
      </c>
      <c r="D154" s="64"/>
      <c r="E154" s="64"/>
      <c r="F154" s="64"/>
      <c r="G154" s="64"/>
      <c r="H154" s="124">
        <f>((E154+F154+G154)/3)*(1+Parâmetros!E11)</f>
        <v>0</v>
      </c>
      <c r="I154" s="124">
        <f>((F154+G154+H154)/3)*(1+Parâmetros!F11)</f>
        <v>0</v>
      </c>
      <c r="J154" s="124">
        <f>((G154+H154+I154)/3)*(1+Parâmetros!G11)</f>
        <v>0</v>
      </c>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c r="FL154" s="74"/>
      <c r="FM154" s="74"/>
      <c r="FN154" s="74"/>
      <c r="FO154" s="74"/>
      <c r="FP154" s="74"/>
      <c r="FQ154" s="74"/>
      <c r="FR154" s="74"/>
      <c r="FS154" s="74"/>
      <c r="FT154" s="74"/>
      <c r="FU154" s="74"/>
      <c r="FV154" s="74"/>
    </row>
    <row r="155" spans="1:178" s="8" customFormat="1" ht="15.75">
      <c r="A155" s="545" t="s">
        <v>542</v>
      </c>
      <c r="B155" s="546"/>
      <c r="C155" s="428" t="s">
        <v>549</v>
      </c>
      <c r="D155" s="64"/>
      <c r="E155" s="64"/>
      <c r="F155" s="64"/>
      <c r="G155" s="64"/>
      <c r="H155" s="124">
        <f>((E155+F155+G155)/3)*(1+Parâmetros!E11)</f>
        <v>0</v>
      </c>
      <c r="I155" s="124">
        <f>((F155+G155+H155)/3)*(1+Parâmetros!F11)</f>
        <v>0</v>
      </c>
      <c r="J155" s="124">
        <f>((G155+H155+I155)/3)*(1+Parâmetros!G11)</f>
        <v>0</v>
      </c>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4"/>
      <c r="DE155" s="74"/>
      <c r="DF155" s="74"/>
      <c r="DG155" s="74"/>
      <c r="DH155" s="74"/>
      <c r="DI155" s="74"/>
      <c r="DJ155" s="74"/>
      <c r="DK155" s="74"/>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74"/>
      <c r="EM155" s="74"/>
      <c r="EN155" s="74"/>
      <c r="EO155" s="74"/>
      <c r="EP155" s="74"/>
      <c r="EQ155" s="74"/>
      <c r="ER155" s="74"/>
      <c r="ES155" s="74"/>
      <c r="ET155" s="74"/>
      <c r="EU155" s="74"/>
      <c r="EV155" s="74"/>
      <c r="EW155" s="74"/>
      <c r="EX155" s="74"/>
      <c r="EY155" s="74"/>
      <c r="EZ155" s="74"/>
      <c r="FA155" s="74"/>
      <c r="FB155" s="74"/>
      <c r="FC155" s="74"/>
      <c r="FD155" s="74"/>
      <c r="FE155" s="74"/>
      <c r="FF155" s="74"/>
      <c r="FG155" s="74"/>
      <c r="FH155" s="74"/>
      <c r="FI155" s="74"/>
      <c r="FJ155" s="74"/>
      <c r="FK155" s="74"/>
      <c r="FL155" s="74"/>
      <c r="FM155" s="74"/>
      <c r="FN155" s="74"/>
      <c r="FO155" s="74"/>
      <c r="FP155" s="74"/>
      <c r="FQ155" s="74"/>
      <c r="FR155" s="74"/>
      <c r="FS155" s="74"/>
      <c r="FT155" s="74"/>
      <c r="FU155" s="74"/>
      <c r="FV155" s="74"/>
    </row>
    <row r="156" spans="1:178" s="8" customFormat="1" ht="15">
      <c r="A156" s="545" t="s">
        <v>171</v>
      </c>
      <c r="B156" s="546"/>
      <c r="C156" s="428" t="s">
        <v>551</v>
      </c>
      <c r="D156" s="141">
        <v>1.99</v>
      </c>
      <c r="E156" s="141"/>
      <c r="F156" s="141"/>
      <c r="G156" s="141"/>
      <c r="H156" s="140">
        <f>((H110-H17-H28-H73-H96-H98)-(H120+H121+H126+H127+H132+H133+H139+H140+H145+H146+H147+H151+H152+H124+H130+H136+H143+H149+H155+H123+H129+H135+H142+H148+H154))</f>
        <v>13862257.371817902</v>
      </c>
      <c r="I156" s="140">
        <f>((I110-I17-I28-I73-I96-I98)-(I120+I121+I126+I127+I132+I133+I139+I140+I145+I146+I147+I151+I152+I124+I130+I136+I143+I149+I155+I123+I129+I135+I142+I148+I154))</f>
        <v>11395973.980748534</v>
      </c>
      <c r="J156" s="140">
        <f>((J110-J17-J28-J73-J96-J98)-(J120+J121+J126+J127+J132+J133+J139+J140+J145+J146+J147+J151+J152+J124+J130+J136+J143+J149+J155+J123+J129+J135+J142+J148+J154))</f>
        <v>8686630.01561056</v>
      </c>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74"/>
      <c r="EM156" s="74"/>
      <c r="EN156" s="74"/>
      <c r="EO156" s="74"/>
      <c r="EP156" s="74"/>
      <c r="EQ156" s="74"/>
      <c r="ER156" s="74"/>
      <c r="ES156" s="74"/>
      <c r="ET156" s="74"/>
      <c r="EU156" s="74"/>
      <c r="EV156" s="74"/>
      <c r="EW156" s="74"/>
      <c r="EX156" s="74"/>
      <c r="EY156" s="74"/>
      <c r="EZ156" s="74"/>
      <c r="FA156" s="74"/>
      <c r="FB156" s="74"/>
      <c r="FC156" s="74"/>
      <c r="FD156" s="74"/>
      <c r="FE156" s="74"/>
      <c r="FF156" s="74"/>
      <c r="FG156" s="74"/>
      <c r="FH156" s="74"/>
      <c r="FI156" s="74"/>
      <c r="FJ156" s="74"/>
      <c r="FK156" s="74"/>
      <c r="FL156" s="74"/>
      <c r="FM156" s="74"/>
      <c r="FN156" s="74"/>
      <c r="FO156" s="74"/>
      <c r="FP156" s="74"/>
      <c r="FQ156" s="74"/>
      <c r="FR156" s="74"/>
      <c r="FS156" s="74"/>
      <c r="FT156" s="74"/>
      <c r="FU156" s="74"/>
      <c r="FV156" s="74"/>
    </row>
    <row r="157" spans="1:178" ht="15">
      <c r="A157" s="545" t="s">
        <v>172</v>
      </c>
      <c r="B157" s="546"/>
      <c r="C157" s="428" t="s">
        <v>552</v>
      </c>
      <c r="D157" s="141">
        <v>1.99</v>
      </c>
      <c r="E157" s="141"/>
      <c r="F157" s="141"/>
      <c r="G157" s="141"/>
      <c r="H157" s="140">
        <f>H17+H28+H73+H96+H98-H122-H128-H134-H141-H153</f>
        <v>15250602.89657319</v>
      </c>
      <c r="I157" s="140">
        <f>I17+I28+I73+I96+I98-I122-I128-I134-I141-I153</f>
        <v>16017772.514563328</v>
      </c>
      <c r="J157" s="140">
        <f>J17+J28+J73+J96+J98-J122-J128-J134-J141-J153</f>
        <v>16761565.889748838</v>
      </c>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row>
    <row r="158" spans="1:178" s="9" customFormat="1" ht="29.25" customHeight="1" thickBot="1">
      <c r="A158" s="407"/>
      <c r="B158" s="407"/>
      <c r="C158" s="81" t="s">
        <v>550</v>
      </c>
      <c r="D158" s="82">
        <f>D118+D137</f>
        <v>81767778.49</v>
      </c>
      <c r="E158" s="82">
        <f>E118+E137</f>
        <v>81410202.03999999</v>
      </c>
      <c r="F158" s="82">
        <f>F118+F137</f>
        <v>95942257.06</v>
      </c>
      <c r="G158" s="82">
        <f>G118+G137</f>
        <v>105303536.89428571</v>
      </c>
      <c r="H158" s="82">
        <f>H118+H137+H156+H157</f>
        <v>147945490.15134853</v>
      </c>
      <c r="I158" s="82">
        <f>I118+I137+I156+I157</f>
        <v>156036142.78851122</v>
      </c>
      <c r="J158" s="82">
        <f>J118+J137+J156+J157</f>
        <v>164461718.27953103</v>
      </c>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FI158" s="77"/>
      <c r="FJ158" s="77"/>
      <c r="FK158" s="77"/>
      <c r="FL158" s="77"/>
      <c r="FM158" s="77"/>
      <c r="FN158" s="77"/>
      <c r="FO158" s="77"/>
      <c r="FP158" s="77"/>
      <c r="FQ158" s="77"/>
      <c r="FR158" s="77"/>
      <c r="FS158" s="77"/>
      <c r="FT158" s="77"/>
      <c r="FU158" s="77"/>
      <c r="FV158" s="77"/>
    </row>
    <row r="159" spans="1:178" s="1" customFormat="1" ht="17.25" customHeight="1" hidden="1">
      <c r="A159" s="20"/>
      <c r="B159" s="419"/>
      <c r="C159" s="24" t="s">
        <v>34</v>
      </c>
      <c r="D159" s="67"/>
      <c r="E159" s="68"/>
      <c r="F159" s="68"/>
      <c r="G159" s="68"/>
      <c r="H159" s="68"/>
      <c r="I159" s="68"/>
      <c r="J159" s="68"/>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c r="CX159" s="72"/>
      <c r="CY159" s="72"/>
      <c r="CZ159" s="72"/>
      <c r="DA159" s="72"/>
      <c r="DB159" s="72"/>
      <c r="DC159" s="72"/>
      <c r="DD159" s="72"/>
      <c r="DE159" s="72"/>
      <c r="DF159" s="72"/>
      <c r="DG159" s="72"/>
      <c r="DH159" s="72"/>
      <c r="DI159" s="72"/>
      <c r="DJ159" s="72"/>
      <c r="DK159" s="72"/>
      <c r="DL159" s="72"/>
      <c r="DM159" s="72"/>
      <c r="DN159" s="72"/>
      <c r="DO159" s="72"/>
      <c r="DP159" s="72"/>
      <c r="DQ159" s="72"/>
      <c r="DR159" s="72"/>
      <c r="DS159" s="72"/>
      <c r="DT159" s="72"/>
      <c r="DU159" s="72"/>
      <c r="DV159" s="72"/>
      <c r="DW159" s="72"/>
      <c r="DX159" s="72"/>
      <c r="DY159" s="72"/>
      <c r="DZ159" s="72"/>
      <c r="EA159" s="72"/>
      <c r="EB159" s="72"/>
      <c r="EC159" s="72"/>
      <c r="ED159" s="72"/>
      <c r="EE159" s="72"/>
      <c r="EF159" s="72"/>
      <c r="EG159" s="72"/>
      <c r="EH159" s="72"/>
      <c r="EI159" s="72"/>
      <c r="EJ159" s="72"/>
      <c r="EK159" s="72"/>
      <c r="EL159" s="72"/>
      <c r="EM159" s="72"/>
      <c r="EN159" s="72"/>
      <c r="EO159" s="72"/>
      <c r="EP159" s="72"/>
      <c r="EQ159" s="72"/>
      <c r="ER159" s="72"/>
      <c r="ES159" s="72"/>
      <c r="ET159" s="72"/>
      <c r="EU159" s="72"/>
      <c r="EV159" s="72"/>
      <c r="EW159" s="72"/>
      <c r="EX159" s="72"/>
      <c r="EY159" s="72"/>
      <c r="EZ159" s="72"/>
      <c r="FA159" s="72"/>
      <c r="FB159" s="72"/>
      <c r="FC159" s="72"/>
      <c r="FD159" s="72"/>
      <c r="FE159" s="72"/>
      <c r="FF159" s="72"/>
      <c r="FG159" s="72"/>
      <c r="FH159" s="72"/>
      <c r="FI159" s="72"/>
      <c r="FJ159" s="72"/>
      <c r="FK159" s="72"/>
      <c r="FL159" s="72"/>
      <c r="FM159" s="72"/>
      <c r="FN159" s="72"/>
      <c r="FO159" s="72"/>
      <c r="FP159" s="72"/>
      <c r="FQ159" s="72"/>
      <c r="FR159" s="72"/>
      <c r="FS159" s="72"/>
      <c r="FT159" s="72"/>
      <c r="FU159" s="72"/>
      <c r="FV159" s="72"/>
    </row>
    <row r="160" spans="1:178" s="1" customFormat="1" ht="17.25" customHeight="1" hidden="1">
      <c r="A160" s="21"/>
      <c r="B160" s="411"/>
      <c r="C160" s="22" t="s">
        <v>7</v>
      </c>
      <c r="D160" s="23" t="s">
        <v>9</v>
      </c>
      <c r="E160" s="23" t="e">
        <f>IF(#REF!&gt;0,"REALIZADO","PROJETADO")</f>
        <v>#REF!</v>
      </c>
      <c r="F160" s="23" t="e">
        <f>IF(#REF!&gt;0,"REALIZADO","PROJETADO")</f>
        <v>#REF!</v>
      </c>
      <c r="G160" s="23" t="e">
        <f>IF(#REF!&gt;0,"REALIZADO","PROJETADO")</f>
        <v>#REF!</v>
      </c>
      <c r="H160" s="23" t="s">
        <v>12</v>
      </c>
      <c r="I160" s="23"/>
      <c r="J160" s="23" t="s">
        <v>12</v>
      </c>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row>
    <row r="161" spans="1:178" s="1" customFormat="1" ht="17.25" customHeight="1" hidden="1">
      <c r="A161" s="21"/>
      <c r="B161" s="411"/>
      <c r="C161" s="69" t="s">
        <v>6</v>
      </c>
      <c r="D161" s="70">
        <v>1999</v>
      </c>
      <c r="E161" s="70">
        <v>2000</v>
      </c>
      <c r="F161" s="70">
        <v>2001</v>
      </c>
      <c r="G161" s="70">
        <v>2002</v>
      </c>
      <c r="H161" s="70">
        <v>2003</v>
      </c>
      <c r="I161" s="70"/>
      <c r="J161" s="70">
        <v>2004</v>
      </c>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2"/>
      <c r="CL161" s="72"/>
      <c r="CM161" s="72"/>
      <c r="CN161" s="72"/>
      <c r="CO161" s="72"/>
      <c r="CP161" s="72"/>
      <c r="CQ161" s="72"/>
      <c r="CR161" s="72"/>
      <c r="CS161" s="72"/>
      <c r="CT161" s="72"/>
      <c r="CU161" s="72"/>
      <c r="CV161" s="72"/>
      <c r="CW161" s="72"/>
      <c r="CX161" s="72"/>
      <c r="CY161" s="72"/>
      <c r="CZ161" s="72"/>
      <c r="DA161" s="72"/>
      <c r="DB161" s="72"/>
      <c r="DC161" s="72"/>
      <c r="DD161" s="72"/>
      <c r="DE161" s="72"/>
      <c r="DF161" s="72"/>
      <c r="DG161" s="72"/>
      <c r="DH161" s="72"/>
      <c r="DI161" s="72"/>
      <c r="DJ161" s="72"/>
      <c r="DK161" s="72"/>
      <c r="DL161" s="72"/>
      <c r="DM161" s="72"/>
      <c r="DN161" s="72"/>
      <c r="DO161" s="72"/>
      <c r="DP161" s="72"/>
      <c r="DQ161" s="72"/>
      <c r="DR161" s="72"/>
      <c r="DS161" s="72"/>
      <c r="DT161" s="72"/>
      <c r="DU161" s="72"/>
      <c r="DV161" s="72"/>
      <c r="DW161" s="72"/>
      <c r="DX161" s="72"/>
      <c r="DY161" s="72"/>
      <c r="DZ161" s="72"/>
      <c r="EA161" s="72"/>
      <c r="EB161" s="72"/>
      <c r="EC161" s="72"/>
      <c r="ED161" s="72"/>
      <c r="EE161" s="72"/>
      <c r="EF161" s="72"/>
      <c r="EG161" s="72"/>
      <c r="EH161" s="72"/>
      <c r="EI161" s="72"/>
      <c r="EJ161" s="72"/>
      <c r="EK161" s="72"/>
      <c r="EL161" s="72"/>
      <c r="EM161" s="72"/>
      <c r="EN161" s="72"/>
      <c r="EO161" s="72"/>
      <c r="EP161" s="72"/>
      <c r="EQ161" s="72"/>
      <c r="ER161" s="72"/>
      <c r="ES161" s="72"/>
      <c r="ET161" s="72"/>
      <c r="EU161" s="72"/>
      <c r="EV161" s="72"/>
      <c r="EW161" s="72"/>
      <c r="EX161" s="72"/>
      <c r="EY161" s="72"/>
      <c r="EZ161" s="72"/>
      <c r="FA161" s="72"/>
      <c r="FB161" s="72"/>
      <c r="FC161" s="72"/>
      <c r="FD161" s="72"/>
      <c r="FE161" s="72"/>
      <c r="FF161" s="72"/>
      <c r="FG161" s="72"/>
      <c r="FH161" s="72"/>
      <c r="FI161" s="72"/>
      <c r="FJ161" s="72"/>
      <c r="FK161" s="72"/>
      <c r="FL161" s="72"/>
      <c r="FM161" s="72"/>
      <c r="FN161" s="72"/>
      <c r="FO161" s="72"/>
      <c r="FP161" s="72"/>
      <c r="FQ161" s="72"/>
      <c r="FR161" s="72"/>
      <c r="FS161" s="72"/>
      <c r="FT161" s="72"/>
      <c r="FU161" s="72"/>
      <c r="FV161" s="72"/>
    </row>
    <row r="162" spans="1:178" s="1" customFormat="1" ht="17.25" customHeight="1" hidden="1">
      <c r="A162" s="21"/>
      <c r="B162" s="411"/>
      <c r="C162" s="24"/>
      <c r="D162" s="25"/>
      <c r="E162" s="25"/>
      <c r="F162" s="25"/>
      <c r="G162" s="25"/>
      <c r="H162" s="25"/>
      <c r="I162" s="25"/>
      <c r="J162" s="25"/>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row>
    <row r="163" spans="1:178" s="1" customFormat="1" ht="16.5" hidden="1" thickBot="1">
      <c r="A163" s="21"/>
      <c r="B163" s="411"/>
      <c r="C163" s="24" t="s">
        <v>14</v>
      </c>
      <c r="D163" s="26" t="e">
        <f>D8-#REF!-D14+D167-#REF!</f>
        <v>#REF!</v>
      </c>
      <c r="E163" s="26" t="e">
        <f>E8-#REF!-E14+E167-#REF!</f>
        <v>#REF!</v>
      </c>
      <c r="F163" s="26" t="e">
        <f>F8-#REF!-F14+F167-#REF!</f>
        <v>#REF!</v>
      </c>
      <c r="G163" s="26" t="e">
        <f>G8-#REF!-G14+G167-#REF!</f>
        <v>#REF!</v>
      </c>
      <c r="H163" s="26" t="e">
        <f>H8-#REF!-H14+H167-#REF!</f>
        <v>#REF!</v>
      </c>
      <c r="I163" s="26"/>
      <c r="J163" s="26" t="e">
        <f>J8-#REF!-J14+J167-#REF!</f>
        <v>#REF!</v>
      </c>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2"/>
      <c r="CL163" s="72"/>
      <c r="CM163" s="72"/>
      <c r="CN163" s="72"/>
      <c r="CO163" s="72"/>
      <c r="CP163" s="72"/>
      <c r="CQ163" s="72"/>
      <c r="CR163" s="72"/>
      <c r="CS163" s="72"/>
      <c r="CT163" s="72"/>
      <c r="CU163" s="72"/>
      <c r="CV163" s="72"/>
      <c r="CW163" s="72"/>
      <c r="CX163" s="72"/>
      <c r="CY163" s="72"/>
      <c r="CZ163" s="72"/>
      <c r="DA163" s="72"/>
      <c r="DB163" s="72"/>
      <c r="DC163" s="72"/>
      <c r="DD163" s="72"/>
      <c r="DE163" s="72"/>
      <c r="DF163" s="72"/>
      <c r="DG163" s="72"/>
      <c r="DH163" s="72"/>
      <c r="DI163" s="72"/>
      <c r="DJ163" s="72"/>
      <c r="DK163" s="72"/>
      <c r="DL163" s="72"/>
      <c r="DM163" s="72"/>
      <c r="DN163" s="72"/>
      <c r="DO163" s="72"/>
      <c r="DP163" s="72"/>
      <c r="DQ163" s="72"/>
      <c r="DR163" s="72"/>
      <c r="DS163" s="72"/>
      <c r="DT163" s="72"/>
      <c r="DU163" s="72"/>
      <c r="DV163" s="72"/>
      <c r="DW163" s="72"/>
      <c r="DX163" s="72"/>
      <c r="DY163" s="72"/>
      <c r="DZ163" s="72"/>
      <c r="EA163" s="72"/>
      <c r="EB163" s="72"/>
      <c r="EC163" s="72"/>
      <c r="ED163" s="72"/>
      <c r="EE163" s="72"/>
      <c r="EF163" s="72"/>
      <c r="EG163" s="72"/>
      <c r="EH163" s="72"/>
      <c r="EI163" s="72"/>
      <c r="EJ163" s="72"/>
      <c r="EK163" s="72"/>
      <c r="EL163" s="72"/>
      <c r="EM163" s="72"/>
      <c r="EN163" s="72"/>
      <c r="EO163" s="72"/>
      <c r="EP163" s="72"/>
      <c r="EQ163" s="72"/>
      <c r="ER163" s="72"/>
      <c r="ES163" s="72"/>
      <c r="ET163" s="72"/>
      <c r="EU163" s="72"/>
      <c r="EV163" s="72"/>
      <c r="EW163" s="72"/>
      <c r="EX163" s="72"/>
      <c r="EY163" s="72"/>
      <c r="EZ163" s="72"/>
      <c r="FA163" s="72"/>
      <c r="FB163" s="72"/>
      <c r="FC163" s="72"/>
      <c r="FD163" s="72"/>
      <c r="FE163" s="72"/>
      <c r="FF163" s="72"/>
      <c r="FG163" s="72"/>
      <c r="FH163" s="72"/>
      <c r="FI163" s="72"/>
      <c r="FJ163" s="72"/>
      <c r="FK163" s="72"/>
      <c r="FL163" s="72"/>
      <c r="FM163" s="72"/>
      <c r="FN163" s="72"/>
      <c r="FO163" s="72"/>
      <c r="FP163" s="72"/>
      <c r="FQ163" s="72"/>
      <c r="FR163" s="72"/>
      <c r="FS163" s="72"/>
      <c r="FT163" s="72"/>
      <c r="FU163" s="72"/>
      <c r="FV163" s="72"/>
    </row>
    <row r="164" spans="1:178" s="1" customFormat="1" ht="16.5" hidden="1" thickBot="1">
      <c r="A164" s="21"/>
      <c r="B164" s="411"/>
      <c r="C164" s="24" t="s">
        <v>15</v>
      </c>
      <c r="D164" s="26">
        <f>D9</f>
        <v>17760821.07</v>
      </c>
      <c r="E164" s="26">
        <f>E9</f>
        <v>17913432.57</v>
      </c>
      <c r="F164" s="26">
        <f>F9</f>
        <v>21763921.55</v>
      </c>
      <c r="G164" s="26">
        <f>G9</f>
        <v>23432891.325714283</v>
      </c>
      <c r="H164" s="26">
        <f>H9</f>
        <v>25740134.76617991</v>
      </c>
      <c r="I164" s="26"/>
      <c r="J164" s="26">
        <f>J9</f>
        <v>28506658.21647096</v>
      </c>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c r="CX164" s="72"/>
      <c r="CY164" s="72"/>
      <c r="CZ164" s="72"/>
      <c r="DA164" s="72"/>
      <c r="DB164" s="72"/>
      <c r="DC164" s="72"/>
      <c r="DD164" s="72"/>
      <c r="DE164" s="72"/>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c r="FR164" s="72"/>
      <c r="FS164" s="72"/>
      <c r="FT164" s="72"/>
      <c r="FU164" s="72"/>
      <c r="FV164" s="72"/>
    </row>
    <row r="165" spans="1:178" s="1" customFormat="1" ht="16.5" hidden="1" thickBot="1">
      <c r="A165" s="21"/>
      <c r="B165" s="411"/>
      <c r="C165" s="24" t="s">
        <v>16</v>
      </c>
      <c r="D165" s="26" t="e">
        <f>D19+D20+D21+#REF!+#REF!+#REF!+#REF!</f>
        <v>#REF!</v>
      </c>
      <c r="E165" s="26" t="e">
        <f>E19+E20+E21+#REF!+#REF!+#REF!+#REF!</f>
        <v>#REF!</v>
      </c>
      <c r="F165" s="26" t="e">
        <f>F19+F20+F21+#REF!+#REF!+#REF!+#REF!</f>
        <v>#REF!</v>
      </c>
      <c r="G165" s="26" t="e">
        <f>G19+G20+G21+#REF!+#REF!+#REF!+#REF!</f>
        <v>#REF!</v>
      </c>
      <c r="H165" s="26" t="e">
        <f>H19+H20+H21+#REF!+#REF!+#REF!+#REF!</f>
        <v>#REF!</v>
      </c>
      <c r="I165" s="26"/>
      <c r="J165" s="26" t="e">
        <f>J19+J20+J21+#REF!+#REF!+#REF!+#REF!</f>
        <v>#REF!</v>
      </c>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2"/>
      <c r="CL165" s="72"/>
      <c r="CM165" s="72"/>
      <c r="CN165" s="72"/>
      <c r="CO165" s="72"/>
      <c r="CP165" s="72"/>
      <c r="CQ165" s="72"/>
      <c r="CR165" s="72"/>
      <c r="CS165" s="72"/>
      <c r="CT165" s="72"/>
      <c r="CU165" s="72"/>
      <c r="CV165" s="72"/>
      <c r="CW165" s="72"/>
      <c r="CX165" s="72"/>
      <c r="CY165" s="72"/>
      <c r="CZ165" s="72"/>
      <c r="DA165" s="72"/>
      <c r="DB165" s="72"/>
      <c r="DC165" s="72"/>
      <c r="DD165" s="72"/>
      <c r="DE165" s="72"/>
      <c r="DF165" s="72"/>
      <c r="DG165" s="72"/>
      <c r="DH165" s="72"/>
      <c r="DI165" s="72"/>
      <c r="DJ165" s="72"/>
      <c r="DK165" s="72"/>
      <c r="DL165" s="72"/>
      <c r="DM165" s="72"/>
      <c r="DN165" s="72"/>
      <c r="DO165" s="72"/>
      <c r="DP165" s="72"/>
      <c r="DQ165" s="72"/>
      <c r="DR165" s="72"/>
      <c r="DS165" s="72"/>
      <c r="DT165" s="72"/>
      <c r="DU165" s="72"/>
      <c r="DV165" s="72"/>
      <c r="DW165" s="72"/>
      <c r="DX165" s="72"/>
      <c r="DY165" s="72"/>
      <c r="DZ165" s="72"/>
      <c r="EA165" s="72"/>
      <c r="EB165" s="72"/>
      <c r="EC165" s="72"/>
      <c r="ED165" s="72"/>
      <c r="EE165" s="72"/>
      <c r="EF165" s="72"/>
      <c r="EG165" s="72"/>
      <c r="EH165" s="72"/>
      <c r="EI165" s="72"/>
      <c r="EJ165" s="72"/>
      <c r="EK165" s="72"/>
      <c r="EL165" s="72"/>
      <c r="EM165" s="72"/>
      <c r="EN165" s="72"/>
      <c r="EO165" s="72"/>
      <c r="EP165" s="72"/>
      <c r="EQ165" s="72"/>
      <c r="ER165" s="72"/>
      <c r="ES165" s="72"/>
      <c r="ET165" s="72"/>
      <c r="EU165" s="72"/>
      <c r="EV165" s="72"/>
      <c r="EW165" s="72"/>
      <c r="EX165" s="72"/>
      <c r="EY165" s="72"/>
      <c r="EZ165" s="72"/>
      <c r="FA165" s="72"/>
      <c r="FB165" s="72"/>
      <c r="FC165" s="72"/>
      <c r="FD165" s="72"/>
      <c r="FE165" s="72"/>
      <c r="FF165" s="72"/>
      <c r="FG165" s="72"/>
      <c r="FH165" s="72"/>
      <c r="FI165" s="72"/>
      <c r="FJ165" s="72"/>
      <c r="FK165" s="72"/>
      <c r="FL165" s="72"/>
      <c r="FM165" s="72"/>
      <c r="FN165" s="72"/>
      <c r="FO165" s="72"/>
      <c r="FP165" s="72"/>
      <c r="FQ165" s="72"/>
      <c r="FR165" s="72"/>
      <c r="FS165" s="72"/>
      <c r="FT165" s="72"/>
      <c r="FU165" s="72"/>
      <c r="FV165" s="72"/>
    </row>
    <row r="166" spans="1:178" s="1" customFormat="1" ht="16.5" hidden="1" thickBot="1">
      <c r="A166" s="21"/>
      <c r="B166" s="411"/>
      <c r="C166" s="24" t="s">
        <v>17</v>
      </c>
      <c r="D166" s="26" t="e">
        <f>#REF!</f>
        <v>#REF!</v>
      </c>
      <c r="E166" s="26" t="e">
        <f>#REF!</f>
        <v>#REF!</v>
      </c>
      <c r="F166" s="26" t="e">
        <f>#REF!</f>
        <v>#REF!</v>
      </c>
      <c r="G166" s="26" t="e">
        <f>#REF!</f>
        <v>#REF!</v>
      </c>
      <c r="H166" s="26" t="e">
        <f>#REF!</f>
        <v>#REF!</v>
      </c>
      <c r="I166" s="26"/>
      <c r="J166" s="26" t="e">
        <f>#REF!</f>
        <v>#REF!</v>
      </c>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c r="CX166" s="72"/>
      <c r="CY166" s="72"/>
      <c r="CZ166" s="72"/>
      <c r="DA166" s="72"/>
      <c r="DB166" s="72"/>
      <c r="DC166" s="72"/>
      <c r="DD166" s="72"/>
      <c r="DE166" s="72"/>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c r="FR166" s="72"/>
      <c r="FS166" s="72"/>
      <c r="FT166" s="72"/>
      <c r="FU166" s="72"/>
      <c r="FV166" s="72"/>
    </row>
    <row r="167" spans="1:178" s="1" customFormat="1" ht="16.5" hidden="1" thickBot="1">
      <c r="A167" s="21"/>
      <c r="B167" s="411"/>
      <c r="C167" s="24" t="s">
        <v>18</v>
      </c>
      <c r="D167" s="26" t="e">
        <f>#REF!-#REF!</f>
        <v>#REF!</v>
      </c>
      <c r="E167" s="26" t="e">
        <f>#REF!-#REF!</f>
        <v>#REF!</v>
      </c>
      <c r="F167" s="26" t="e">
        <f>#REF!-#REF!</f>
        <v>#REF!</v>
      </c>
      <c r="G167" s="26" t="e">
        <f>#REF!-#REF!</f>
        <v>#REF!</v>
      </c>
      <c r="H167" s="26" t="e">
        <f>#REF!-#REF!</f>
        <v>#REF!</v>
      </c>
      <c r="I167" s="26"/>
      <c r="J167" s="26" t="e">
        <f>#REF!-#REF!</f>
        <v>#REF!</v>
      </c>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c r="CX167" s="72"/>
      <c r="CY167" s="72"/>
      <c r="CZ167" s="72"/>
      <c r="DA167" s="72"/>
      <c r="DB167" s="72"/>
      <c r="DC167" s="72"/>
      <c r="DD167" s="72"/>
      <c r="DE167" s="72"/>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c r="FR167" s="72"/>
      <c r="FS167" s="72"/>
      <c r="FT167" s="72"/>
      <c r="FU167" s="72"/>
      <c r="FV167" s="72"/>
    </row>
    <row r="168" spans="1:178" s="1" customFormat="1" ht="16.5" hidden="1" thickBot="1">
      <c r="A168" s="21"/>
      <c r="B168" s="411"/>
      <c r="C168" s="24" t="s">
        <v>19</v>
      </c>
      <c r="D168" s="26" t="e">
        <f>#REF!</f>
        <v>#REF!</v>
      </c>
      <c r="E168" s="26" t="e">
        <f>#REF!</f>
        <v>#REF!</v>
      </c>
      <c r="F168" s="26" t="e">
        <f>#REF!</f>
        <v>#REF!</v>
      </c>
      <c r="G168" s="26" t="e">
        <f>#REF!</f>
        <v>#REF!</v>
      </c>
      <c r="H168" s="26" t="e">
        <f>#REF!</f>
        <v>#REF!</v>
      </c>
      <c r="I168" s="26"/>
      <c r="J168" s="26" t="e">
        <f>#REF!</f>
        <v>#REF!</v>
      </c>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row>
    <row r="169" spans="1:178" s="1" customFormat="1" ht="16.5" hidden="1" thickBot="1">
      <c r="A169" s="21"/>
      <c r="B169" s="411"/>
      <c r="C169" s="24" t="s">
        <v>20</v>
      </c>
      <c r="D169" s="26" t="e">
        <f>#REF!</f>
        <v>#REF!</v>
      </c>
      <c r="E169" s="26" t="e">
        <f>#REF!</f>
        <v>#REF!</v>
      </c>
      <c r="F169" s="26" t="e">
        <f>#REF!</f>
        <v>#REF!</v>
      </c>
      <c r="G169" s="26" t="e">
        <f>#REF!</f>
        <v>#REF!</v>
      </c>
      <c r="H169" s="26" t="e">
        <f>#REF!</f>
        <v>#REF!</v>
      </c>
      <c r="I169" s="26"/>
      <c r="J169" s="26" t="e">
        <f>#REF!</f>
        <v>#REF!</v>
      </c>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row>
    <row r="170" spans="1:178" s="1" customFormat="1" ht="16.5" hidden="1" thickBot="1">
      <c r="A170" s="21"/>
      <c r="B170" s="411"/>
      <c r="C170" s="24" t="s">
        <v>21</v>
      </c>
      <c r="D170" s="26" t="e">
        <f>#REF!</f>
        <v>#REF!</v>
      </c>
      <c r="E170" s="26" t="e">
        <f>#REF!</f>
        <v>#REF!</v>
      </c>
      <c r="F170" s="26" t="e">
        <f>#REF!</f>
        <v>#REF!</v>
      </c>
      <c r="G170" s="26" t="e">
        <f>#REF!</f>
        <v>#REF!</v>
      </c>
      <c r="H170" s="26" t="e">
        <f>#REF!</f>
        <v>#REF!</v>
      </c>
      <c r="I170" s="26"/>
      <c r="J170" s="26" t="e">
        <f>#REF!</f>
        <v>#REF!</v>
      </c>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c r="CX170" s="72"/>
      <c r="CY170" s="72"/>
      <c r="CZ170" s="72"/>
      <c r="DA170" s="72"/>
      <c r="DB170" s="72"/>
      <c r="DC170" s="72"/>
      <c r="DD170" s="72"/>
      <c r="DE170" s="72"/>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2"/>
      <c r="FU170" s="72"/>
      <c r="FV170" s="72"/>
    </row>
    <row r="171" spans="1:178" s="1" customFormat="1" ht="16.5" hidden="1" thickBot="1">
      <c r="A171" s="21"/>
      <c r="B171" s="411"/>
      <c r="C171" s="24" t="s">
        <v>22</v>
      </c>
      <c r="D171" s="26" t="e">
        <f>#REF!</f>
        <v>#REF!</v>
      </c>
      <c r="E171" s="26" t="e">
        <f>#REF!</f>
        <v>#REF!</v>
      </c>
      <c r="F171" s="26" t="e">
        <f>#REF!</f>
        <v>#REF!</v>
      </c>
      <c r="G171" s="26" t="e">
        <f>#REF!</f>
        <v>#REF!</v>
      </c>
      <c r="H171" s="26" t="e">
        <f>#REF!</f>
        <v>#REF!</v>
      </c>
      <c r="I171" s="26"/>
      <c r="J171" s="26" t="e">
        <f>#REF!</f>
        <v>#REF!</v>
      </c>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c r="CX171" s="72"/>
      <c r="CY171" s="72"/>
      <c r="CZ171" s="72"/>
      <c r="DA171" s="72"/>
      <c r="DB171" s="72"/>
      <c r="DC171" s="72"/>
      <c r="DD171" s="72"/>
      <c r="DE171" s="72"/>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c r="FR171" s="72"/>
      <c r="FS171" s="72"/>
      <c r="FT171" s="72"/>
      <c r="FU171" s="72"/>
      <c r="FV171" s="72"/>
    </row>
    <row r="172" spans="1:178" s="1" customFormat="1" ht="16.5" hidden="1" thickBot="1">
      <c r="A172" s="21"/>
      <c r="B172" s="411"/>
      <c r="C172" s="24" t="s">
        <v>23</v>
      </c>
      <c r="D172" s="26" t="e">
        <f>#REF!+#REF!+D145+D146+D150+#REF!+D157+D158+D125+#REF!</f>
        <v>#REF!</v>
      </c>
      <c r="E172" s="26" t="e">
        <f>#REF!+#REF!+E145+E146+E150+#REF!+E157+E158+E125+#REF!</f>
        <v>#REF!</v>
      </c>
      <c r="F172" s="26" t="e">
        <f>#REF!+#REF!+F145+F146+F150+#REF!+F157+F158+F125+#REF!</f>
        <v>#REF!</v>
      </c>
      <c r="G172" s="26" t="e">
        <f>#REF!+#REF!+G145+G146+G150+#REF!+G157+G158+G125+#REF!</f>
        <v>#REF!</v>
      </c>
      <c r="H172" s="26" t="e">
        <f>#REF!+#REF!+H145+H146+H150+#REF!+H157+H158+H125+#REF!</f>
        <v>#REF!</v>
      </c>
      <c r="I172" s="26"/>
      <c r="J172" s="26" t="e">
        <f>#REF!+#REF!+J145+J146+J150+#REF!+J157+J158+J125+#REF!</f>
        <v>#REF!</v>
      </c>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2"/>
      <c r="CY172" s="72"/>
      <c r="CZ172" s="72"/>
      <c r="DA172" s="72"/>
      <c r="DB172" s="72"/>
      <c r="DC172" s="72"/>
      <c r="DD172" s="72"/>
      <c r="DE172" s="72"/>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c r="FR172" s="72"/>
      <c r="FS172" s="72"/>
      <c r="FT172" s="72"/>
      <c r="FU172" s="72"/>
      <c r="FV172" s="72"/>
    </row>
    <row r="173" spans="1:178" s="1" customFormat="1" ht="16.5" hidden="1" thickBot="1">
      <c r="A173" s="21"/>
      <c r="B173" s="411"/>
      <c r="C173" s="24" t="s">
        <v>24</v>
      </c>
      <c r="D173" s="26" t="e">
        <f>#REF!+#REF!</f>
        <v>#REF!</v>
      </c>
      <c r="E173" s="26" t="e">
        <f>#REF!+#REF!</f>
        <v>#REF!</v>
      </c>
      <c r="F173" s="26" t="e">
        <f>#REF!+#REF!</f>
        <v>#REF!</v>
      </c>
      <c r="G173" s="26" t="e">
        <f>#REF!+#REF!</f>
        <v>#REF!</v>
      </c>
      <c r="H173" s="26" t="e">
        <f>#REF!+#REF!</f>
        <v>#REF!</v>
      </c>
      <c r="I173" s="26"/>
      <c r="J173" s="26" t="e">
        <f>#REF!+#REF!</f>
        <v>#REF!</v>
      </c>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2"/>
      <c r="CL173" s="72"/>
      <c r="CM173" s="72"/>
      <c r="CN173" s="72"/>
      <c r="CO173" s="72"/>
      <c r="CP173" s="72"/>
      <c r="CQ173" s="72"/>
      <c r="CR173" s="72"/>
      <c r="CS173" s="72"/>
      <c r="CT173" s="72"/>
      <c r="CU173" s="72"/>
      <c r="CV173" s="72"/>
      <c r="CW173" s="72"/>
      <c r="CX173" s="72"/>
      <c r="CY173" s="72"/>
      <c r="CZ173" s="72"/>
      <c r="DA173" s="72"/>
      <c r="DB173" s="72"/>
      <c r="DC173" s="72"/>
      <c r="DD173" s="72"/>
      <c r="DE173" s="72"/>
      <c r="DF173" s="72"/>
      <c r="DG173" s="72"/>
      <c r="DH173" s="72"/>
      <c r="DI173" s="72"/>
      <c r="DJ173" s="72"/>
      <c r="DK173" s="72"/>
      <c r="DL173" s="72"/>
      <c r="DM173" s="72"/>
      <c r="DN173" s="72"/>
      <c r="DO173" s="72"/>
      <c r="DP173" s="72"/>
      <c r="DQ173" s="72"/>
      <c r="DR173" s="72"/>
      <c r="DS173" s="72"/>
      <c r="DT173" s="72"/>
      <c r="DU173" s="72"/>
      <c r="DV173" s="72"/>
      <c r="DW173" s="72"/>
      <c r="DX173" s="72"/>
      <c r="DY173" s="72"/>
      <c r="DZ173" s="72"/>
      <c r="EA173" s="72"/>
      <c r="EB173" s="72"/>
      <c r="EC173" s="72"/>
      <c r="ED173" s="72"/>
      <c r="EE173" s="72"/>
      <c r="EF173" s="72"/>
      <c r="EG173" s="72"/>
      <c r="EH173" s="72"/>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2"/>
      <c r="FU173" s="72"/>
      <c r="FV173" s="72"/>
    </row>
    <row r="174" spans="1:178" s="1" customFormat="1" ht="16.5" hidden="1" thickBot="1">
      <c r="A174" s="21"/>
      <c r="B174" s="411"/>
      <c r="C174" s="24" t="s">
        <v>25</v>
      </c>
      <c r="D174" s="26">
        <f>D138+D144</f>
        <v>5948623.13</v>
      </c>
      <c r="E174" s="26">
        <f>E138+E144</f>
        <v>4916608.65</v>
      </c>
      <c r="F174" s="26">
        <f>F138+F144</f>
        <v>13362006.01</v>
      </c>
      <c r="G174" s="26">
        <f>G138+G144</f>
        <v>12384450.27</v>
      </c>
      <c r="H174" s="26">
        <f>H138+H144</f>
        <v>14163584.728889849</v>
      </c>
      <c r="I174" s="26"/>
      <c r="J174" s="26">
        <f>J138+J144</f>
        <v>21461831.608612448</v>
      </c>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2"/>
      <c r="CL174" s="72"/>
      <c r="CM174" s="72"/>
      <c r="CN174" s="72"/>
      <c r="CO174" s="72"/>
      <c r="CP174" s="72"/>
      <c r="CQ174" s="72"/>
      <c r="CR174" s="72"/>
      <c r="CS174" s="72"/>
      <c r="CT174" s="72"/>
      <c r="CU174" s="72"/>
      <c r="CV174" s="72"/>
      <c r="CW174" s="72"/>
      <c r="CX174" s="72"/>
      <c r="CY174" s="72"/>
      <c r="CZ174" s="72"/>
      <c r="DA174" s="72"/>
      <c r="DB174" s="72"/>
      <c r="DC174" s="72"/>
      <c r="DD174" s="72"/>
      <c r="DE174" s="72"/>
      <c r="DF174" s="72"/>
      <c r="DG174" s="72"/>
      <c r="DH174" s="72"/>
      <c r="DI174" s="72"/>
      <c r="DJ174" s="72"/>
      <c r="DK174" s="72"/>
      <c r="DL174" s="72"/>
      <c r="DM174" s="72"/>
      <c r="DN174" s="72"/>
      <c r="DO174" s="72"/>
      <c r="DP174" s="72"/>
      <c r="DQ174" s="72"/>
      <c r="DR174" s="72"/>
      <c r="DS174" s="72"/>
      <c r="DT174" s="72"/>
      <c r="DU174" s="72"/>
      <c r="DV174" s="72"/>
      <c r="DW174" s="72"/>
      <c r="DX174" s="72"/>
      <c r="DY174" s="72"/>
      <c r="DZ174" s="72"/>
      <c r="EA174" s="72"/>
      <c r="EB174" s="72"/>
      <c r="EC174" s="72"/>
      <c r="ED174" s="72"/>
      <c r="EE174" s="72"/>
      <c r="EF174" s="72"/>
      <c r="EG174" s="72"/>
      <c r="EH174" s="72"/>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2"/>
      <c r="FU174" s="72"/>
      <c r="FV174" s="72"/>
    </row>
    <row r="175" spans="1:178" s="1" customFormat="1" ht="16.5" hidden="1" thickBot="1">
      <c r="A175" s="21"/>
      <c r="B175" s="411"/>
      <c r="C175" s="24" t="s">
        <v>26</v>
      </c>
      <c r="D175" s="26" t="e">
        <f>#REF!</f>
        <v>#REF!</v>
      </c>
      <c r="E175" s="26" t="e">
        <f>#REF!</f>
        <v>#REF!</v>
      </c>
      <c r="F175" s="26" t="e">
        <f>#REF!</f>
        <v>#REF!</v>
      </c>
      <c r="G175" s="26" t="e">
        <f>#REF!</f>
        <v>#REF!</v>
      </c>
      <c r="H175" s="26" t="e">
        <f>#REF!</f>
        <v>#REF!</v>
      </c>
      <c r="I175" s="26"/>
      <c r="J175" s="26" t="e">
        <f>#REF!</f>
        <v>#REF!</v>
      </c>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c r="CI175" s="72"/>
      <c r="CJ175" s="72"/>
      <c r="CK175" s="72"/>
      <c r="CL175" s="72"/>
      <c r="CM175" s="72"/>
      <c r="CN175" s="72"/>
      <c r="CO175" s="72"/>
      <c r="CP175" s="72"/>
      <c r="CQ175" s="72"/>
      <c r="CR175" s="72"/>
      <c r="CS175" s="72"/>
      <c r="CT175" s="72"/>
      <c r="CU175" s="72"/>
      <c r="CV175" s="72"/>
      <c r="CW175" s="72"/>
      <c r="CX175" s="72"/>
      <c r="CY175" s="72"/>
      <c r="CZ175" s="72"/>
      <c r="DA175" s="72"/>
      <c r="DB175" s="72"/>
      <c r="DC175" s="72"/>
      <c r="DD175" s="72"/>
      <c r="DE175" s="72"/>
      <c r="DF175" s="72"/>
      <c r="DG175" s="72"/>
      <c r="DH175" s="72"/>
      <c r="DI175" s="72"/>
      <c r="DJ175" s="72"/>
      <c r="DK175" s="72"/>
      <c r="DL175" s="72"/>
      <c r="DM175" s="72"/>
      <c r="DN175" s="72"/>
      <c r="DO175" s="72"/>
      <c r="DP175" s="72"/>
      <c r="DQ175" s="72"/>
      <c r="DR175" s="72"/>
      <c r="DS175" s="72"/>
      <c r="DT175" s="72"/>
      <c r="DU175" s="72"/>
      <c r="DV175" s="72"/>
      <c r="DW175" s="72"/>
      <c r="DX175" s="72"/>
      <c r="DY175" s="72"/>
      <c r="DZ175" s="72"/>
      <c r="EA175" s="72"/>
      <c r="EB175" s="72"/>
      <c r="EC175" s="72"/>
      <c r="ED175" s="72"/>
      <c r="EE175" s="72"/>
      <c r="EF175" s="72"/>
      <c r="EG175" s="72"/>
      <c r="EH175" s="72"/>
      <c r="EI175" s="72"/>
      <c r="EJ175" s="72"/>
      <c r="EK175" s="72"/>
      <c r="EL175" s="72"/>
      <c r="EM175" s="72"/>
      <c r="EN175" s="72"/>
      <c r="EO175" s="72"/>
      <c r="EP175" s="72"/>
      <c r="EQ175" s="72"/>
      <c r="ER175" s="72"/>
      <c r="ES175" s="72"/>
      <c r="ET175" s="72"/>
      <c r="EU175" s="72"/>
      <c r="EV175" s="72"/>
      <c r="EW175" s="72"/>
      <c r="EX175" s="72"/>
      <c r="EY175" s="72"/>
      <c r="EZ175" s="72"/>
      <c r="FA175" s="72"/>
      <c r="FB175" s="72"/>
      <c r="FC175" s="72"/>
      <c r="FD175" s="72"/>
      <c r="FE175" s="72"/>
      <c r="FF175" s="72"/>
      <c r="FG175" s="72"/>
      <c r="FH175" s="72"/>
      <c r="FI175" s="72"/>
      <c r="FJ175" s="72"/>
      <c r="FK175" s="72"/>
      <c r="FL175" s="72"/>
      <c r="FM175" s="72"/>
      <c r="FN175" s="72"/>
      <c r="FO175" s="72"/>
      <c r="FP175" s="72"/>
      <c r="FQ175" s="72"/>
      <c r="FR175" s="72"/>
      <c r="FS175" s="72"/>
      <c r="FT175" s="72"/>
      <c r="FU175" s="72"/>
      <c r="FV175" s="72"/>
    </row>
    <row r="176" spans="1:178" s="1" customFormat="1" ht="16.5" hidden="1" thickBot="1">
      <c r="A176" s="21"/>
      <c r="B176" s="411"/>
      <c r="C176" s="24" t="s">
        <v>27</v>
      </c>
      <c r="D176" s="26" t="e">
        <f>D131+#REF!+#REF!+#REF!+#REF!+#REF!+#REF!</f>
        <v>#REF!</v>
      </c>
      <c r="E176" s="26" t="e">
        <f>E131+#REF!+#REF!+#REF!+#REF!+#REF!+#REF!</f>
        <v>#REF!</v>
      </c>
      <c r="F176" s="26" t="e">
        <f>F131+#REF!+#REF!+#REF!+#REF!+#REF!+#REF!</f>
        <v>#REF!</v>
      </c>
      <c r="G176" s="26" t="e">
        <f>G131+#REF!+#REF!+#REF!+#REF!+#REF!+#REF!</f>
        <v>#REF!</v>
      </c>
      <c r="H176" s="26" t="e">
        <f>H131+#REF!+#REF!+#REF!+#REF!+#REF!+#REF!</f>
        <v>#REF!</v>
      </c>
      <c r="I176" s="26"/>
      <c r="J176" s="26" t="e">
        <f>J131+#REF!+#REF!+#REF!+#REF!+#REF!+#REF!</f>
        <v>#REF!</v>
      </c>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c r="FR176" s="72"/>
      <c r="FS176" s="72"/>
      <c r="FT176" s="72"/>
      <c r="FU176" s="72"/>
      <c r="FV176" s="72"/>
    </row>
    <row r="177" spans="1:178" s="1" customFormat="1" ht="16.5" hidden="1" thickBot="1">
      <c r="A177" s="21"/>
      <c r="B177" s="411"/>
      <c r="C177" s="24" t="s">
        <v>33</v>
      </c>
      <c r="D177" s="26" t="e">
        <f>#REF!</f>
        <v>#REF!</v>
      </c>
      <c r="E177" s="26" t="e">
        <f>#REF!</f>
        <v>#REF!</v>
      </c>
      <c r="F177" s="26" t="e">
        <f>#REF!</f>
        <v>#REF!</v>
      </c>
      <c r="G177" s="26" t="e">
        <f>#REF!</f>
        <v>#REF!</v>
      </c>
      <c r="H177" s="26" t="e">
        <f>#REF!</f>
        <v>#REF!</v>
      </c>
      <c r="I177" s="26"/>
      <c r="J177" s="26" t="e">
        <f>#REF!</f>
        <v>#REF!</v>
      </c>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2"/>
      <c r="FU177" s="72"/>
      <c r="FV177" s="72"/>
    </row>
    <row r="178" spans="1:178" s="1" customFormat="1" ht="16.5" hidden="1" thickBot="1">
      <c r="A178" s="21"/>
      <c r="B178" s="411"/>
      <c r="C178" s="24" t="s">
        <v>28</v>
      </c>
      <c r="D178" s="26" t="e">
        <f>#REF!+#REF!</f>
        <v>#REF!</v>
      </c>
      <c r="E178" s="26" t="e">
        <f>#REF!+#REF!</f>
        <v>#REF!</v>
      </c>
      <c r="F178" s="26" t="e">
        <f>#REF!+#REF!</f>
        <v>#REF!</v>
      </c>
      <c r="G178" s="26" t="e">
        <f>#REF!+#REF!</f>
        <v>#REF!</v>
      </c>
      <c r="H178" s="26" t="e">
        <f>#REF!+#REF!</f>
        <v>#REF!</v>
      </c>
      <c r="I178" s="26"/>
      <c r="J178" s="26" t="e">
        <f>#REF!+#REF!</f>
        <v>#REF!</v>
      </c>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2"/>
      <c r="DK178" s="72"/>
      <c r="DL178" s="72"/>
      <c r="DM178" s="72"/>
      <c r="DN178" s="72"/>
      <c r="DO178" s="72"/>
      <c r="DP178" s="72"/>
      <c r="DQ178" s="72"/>
      <c r="DR178" s="72"/>
      <c r="DS178" s="72"/>
      <c r="DT178" s="72"/>
      <c r="DU178" s="72"/>
      <c r="DV178" s="72"/>
      <c r="DW178" s="72"/>
      <c r="DX178" s="72"/>
      <c r="DY178" s="72"/>
      <c r="DZ178" s="72"/>
      <c r="EA178" s="72"/>
      <c r="EB178" s="72"/>
      <c r="EC178" s="72"/>
      <c r="ED178" s="72"/>
      <c r="EE178" s="72"/>
      <c r="EF178" s="72"/>
      <c r="EG178" s="72"/>
      <c r="EH178" s="72"/>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c r="FR178" s="72"/>
      <c r="FS178" s="72"/>
      <c r="FT178" s="72"/>
      <c r="FU178" s="72"/>
      <c r="FV178" s="72"/>
    </row>
    <row r="179" spans="1:178" s="1" customFormat="1" ht="16.5" hidden="1" thickBot="1">
      <c r="A179" s="21"/>
      <c r="B179" s="411"/>
      <c r="C179" s="24" t="s">
        <v>29</v>
      </c>
      <c r="D179" s="26" t="e">
        <f>#REF!+#REF!</f>
        <v>#REF!</v>
      </c>
      <c r="E179" s="26" t="e">
        <f>#REF!+#REF!</f>
        <v>#REF!</v>
      </c>
      <c r="F179" s="26" t="e">
        <f>#REF!+#REF!</f>
        <v>#REF!</v>
      </c>
      <c r="G179" s="26" t="e">
        <f>#REF!+#REF!</f>
        <v>#REF!</v>
      </c>
      <c r="H179" s="26" t="e">
        <f>#REF!+#REF!</f>
        <v>#REF!</v>
      </c>
      <c r="I179" s="26"/>
      <c r="J179" s="26" t="e">
        <f>#REF!+#REF!</f>
        <v>#REF!</v>
      </c>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c r="FF179" s="72"/>
      <c r="FG179" s="72"/>
      <c r="FH179" s="72"/>
      <c r="FI179" s="72"/>
      <c r="FJ179" s="72"/>
      <c r="FK179" s="72"/>
      <c r="FL179" s="72"/>
      <c r="FM179" s="72"/>
      <c r="FN179" s="72"/>
      <c r="FO179" s="72"/>
      <c r="FP179" s="72"/>
      <c r="FQ179" s="72"/>
      <c r="FR179" s="72"/>
      <c r="FS179" s="72"/>
      <c r="FT179" s="72"/>
      <c r="FU179" s="72"/>
      <c r="FV179" s="72"/>
    </row>
    <row r="180" spans="1:178" s="1" customFormat="1" ht="16.5" hidden="1" thickBot="1">
      <c r="A180" s="21"/>
      <c r="B180" s="411"/>
      <c r="C180" s="24" t="s">
        <v>30</v>
      </c>
      <c r="D180" s="26" t="e">
        <f>D178+D179</f>
        <v>#REF!</v>
      </c>
      <c r="E180" s="26" t="e">
        <f aca="true" t="shared" si="32" ref="E180:J180">E178+E179</f>
        <v>#REF!</v>
      </c>
      <c r="F180" s="26" t="e">
        <f t="shared" si="32"/>
        <v>#REF!</v>
      </c>
      <c r="G180" s="26" t="e">
        <f t="shared" si="32"/>
        <v>#REF!</v>
      </c>
      <c r="H180" s="26" t="e">
        <f t="shared" si="32"/>
        <v>#REF!</v>
      </c>
      <c r="I180" s="26"/>
      <c r="J180" s="26" t="e">
        <f t="shared" si="32"/>
        <v>#REF!</v>
      </c>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2"/>
      <c r="CY180" s="72"/>
      <c r="CZ180" s="72"/>
      <c r="DA180" s="72"/>
      <c r="DB180" s="72"/>
      <c r="DC180" s="72"/>
      <c r="DD180" s="72"/>
      <c r="DE180" s="72"/>
      <c r="DF180" s="72"/>
      <c r="DG180" s="72"/>
      <c r="DH180" s="72"/>
      <c r="DI180" s="72"/>
      <c r="DJ180" s="72"/>
      <c r="DK180" s="72"/>
      <c r="DL180" s="72"/>
      <c r="DM180" s="72"/>
      <c r="DN180" s="72"/>
      <c r="DO180" s="72"/>
      <c r="DP180" s="72"/>
      <c r="DQ180" s="72"/>
      <c r="DR180" s="72"/>
      <c r="DS180" s="72"/>
      <c r="DT180" s="72"/>
      <c r="DU180" s="72"/>
      <c r="DV180" s="72"/>
      <c r="DW180" s="72"/>
      <c r="DX180" s="72"/>
      <c r="DY180" s="72"/>
      <c r="DZ180" s="72"/>
      <c r="EA180" s="72"/>
      <c r="EB180" s="72"/>
      <c r="EC180" s="72"/>
      <c r="ED180" s="72"/>
      <c r="EE180" s="72"/>
      <c r="EF180" s="72"/>
      <c r="EG180" s="72"/>
      <c r="EH180" s="72"/>
      <c r="EI180" s="72"/>
      <c r="EJ180" s="72"/>
      <c r="EK180" s="72"/>
      <c r="EL180" s="72"/>
      <c r="EM180" s="72"/>
      <c r="EN180" s="72"/>
      <c r="EO180" s="72"/>
      <c r="EP180" s="72"/>
      <c r="EQ180" s="72"/>
      <c r="ER180" s="72"/>
      <c r="ES180" s="72"/>
      <c r="ET180" s="72"/>
      <c r="EU180" s="72"/>
      <c r="EV180" s="72"/>
      <c r="EW180" s="72"/>
      <c r="EX180" s="72"/>
      <c r="EY180" s="72"/>
      <c r="EZ180" s="72"/>
      <c r="FA180" s="72"/>
      <c r="FB180" s="72"/>
      <c r="FC180" s="72"/>
      <c r="FD180" s="72"/>
      <c r="FE180" s="72"/>
      <c r="FF180" s="72"/>
      <c r="FG180" s="72"/>
      <c r="FH180" s="72"/>
      <c r="FI180" s="72"/>
      <c r="FJ180" s="72"/>
      <c r="FK180" s="72"/>
      <c r="FL180" s="72"/>
      <c r="FM180" s="72"/>
      <c r="FN180" s="72"/>
      <c r="FO180" s="72"/>
      <c r="FP180" s="72"/>
      <c r="FQ180" s="72"/>
      <c r="FR180" s="72"/>
      <c r="FS180" s="72"/>
      <c r="FT180" s="72"/>
      <c r="FU180" s="72"/>
      <c r="FV180" s="72"/>
    </row>
    <row r="181" spans="1:178" s="1" customFormat="1" ht="16.5" hidden="1" thickBot="1">
      <c r="A181" s="21"/>
      <c r="B181" s="411"/>
      <c r="C181" s="24" t="s">
        <v>31</v>
      </c>
      <c r="D181" s="26" t="e">
        <f>((D8+#REF!)-(D165)-((#REF!+#REF!)-D180))</f>
        <v>#REF!</v>
      </c>
      <c r="E181" s="26" t="e">
        <f>((E8+#REF!)-(E165)-((#REF!+#REF!)-E180))</f>
        <v>#REF!</v>
      </c>
      <c r="F181" s="26" t="e">
        <f>((F8+#REF!)-(F165)-((#REF!+#REF!)-F180))</f>
        <v>#REF!</v>
      </c>
      <c r="G181" s="26" t="e">
        <f>((G8+#REF!)-(G165)-((#REF!+#REF!)-G180))</f>
        <v>#REF!</v>
      </c>
      <c r="H181" s="26" t="e">
        <f>((H8+#REF!)-(H165)-((#REF!+#REF!)-H180))</f>
        <v>#REF!</v>
      </c>
      <c r="I181" s="26"/>
      <c r="J181" s="26" t="e">
        <f>((J8+#REF!)-(J165)-((#REF!+#REF!)-J180))</f>
        <v>#REF!</v>
      </c>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c r="CX181" s="72"/>
      <c r="CY181" s="72"/>
      <c r="CZ181" s="72"/>
      <c r="DA181" s="72"/>
      <c r="DB181" s="72"/>
      <c r="DC181" s="72"/>
      <c r="DD181" s="72"/>
      <c r="DE181" s="72"/>
      <c r="DF181" s="72"/>
      <c r="DG181" s="72"/>
      <c r="DH181" s="72"/>
      <c r="DI181" s="72"/>
      <c r="DJ181" s="72"/>
      <c r="DK181" s="72"/>
      <c r="DL181" s="72"/>
      <c r="DM181" s="72"/>
      <c r="DN181" s="72"/>
      <c r="DO181" s="72"/>
      <c r="DP181" s="72"/>
      <c r="DQ181" s="72"/>
      <c r="DR181" s="72"/>
      <c r="DS181" s="72"/>
      <c r="DT181" s="72"/>
      <c r="DU181" s="72"/>
      <c r="DV181" s="72"/>
      <c r="DW181" s="72"/>
      <c r="DX181" s="72"/>
      <c r="DY181" s="72"/>
      <c r="DZ181" s="72"/>
      <c r="EA181" s="72"/>
      <c r="EB181" s="72"/>
      <c r="EC181" s="72"/>
      <c r="ED181" s="72"/>
      <c r="EE181" s="72"/>
      <c r="EF181" s="72"/>
      <c r="EG181" s="72"/>
      <c r="EH181" s="72"/>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c r="FR181" s="72"/>
      <c r="FS181" s="72"/>
      <c r="FT181" s="72"/>
      <c r="FU181" s="72"/>
      <c r="FV181" s="72"/>
    </row>
    <row r="182" spans="1:178" s="1" customFormat="1" ht="16.5" hidden="1" thickBot="1">
      <c r="A182" s="21"/>
      <c r="B182" s="411"/>
      <c r="C182" s="27" t="s">
        <v>32</v>
      </c>
      <c r="D182" s="28" t="e">
        <f>-(D181-(D178-D19-D20-D21-#REF!))</f>
        <v>#REF!</v>
      </c>
      <c r="E182" s="28" t="e">
        <f>-(E181-(E178-E19-E20-E21-#REF!))</f>
        <v>#REF!</v>
      </c>
      <c r="F182" s="28" t="e">
        <f>-(F181-(F178-F19-F20-F21-#REF!))</f>
        <v>#REF!</v>
      </c>
      <c r="G182" s="28" t="e">
        <f>-(G181-(G178-G19-G20-G21-#REF!))</f>
        <v>#REF!</v>
      </c>
      <c r="H182" s="28" t="e">
        <f>-(H181-(H178-H19-H20-H21-#REF!))</f>
        <v>#REF!</v>
      </c>
      <c r="I182" s="28"/>
      <c r="J182" s="28" t="e">
        <f>-(J181-(J178-J19-J20-J21-#REF!))</f>
        <v>#REF!</v>
      </c>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2"/>
      <c r="FU182" s="72"/>
      <c r="FV182" s="72"/>
    </row>
    <row r="183" spans="1:178" s="1" customFormat="1" ht="16.5" thickTop="1">
      <c r="A183" s="21" t="s">
        <v>667</v>
      </c>
      <c r="B183" s="411"/>
      <c r="C183" s="29"/>
      <c r="D183" s="29"/>
      <c r="E183" s="29"/>
      <c r="F183" s="29"/>
      <c r="G183" s="29"/>
      <c r="H183" s="29"/>
      <c r="I183" s="29"/>
      <c r="J183" s="29"/>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c r="CR183" s="72"/>
      <c r="CS183" s="72"/>
      <c r="CT183" s="72"/>
      <c r="CU183" s="72"/>
      <c r="CV183" s="72"/>
      <c r="CW183" s="72"/>
      <c r="CX183" s="72"/>
      <c r="CY183" s="72"/>
      <c r="CZ183" s="72"/>
      <c r="DA183" s="72"/>
      <c r="DB183" s="72"/>
      <c r="DC183" s="72"/>
      <c r="DD183" s="72"/>
      <c r="DE183" s="72"/>
      <c r="DF183" s="72"/>
      <c r="DG183" s="72"/>
      <c r="DH183" s="72"/>
      <c r="DI183" s="72"/>
      <c r="DJ183" s="72"/>
      <c r="DK183" s="72"/>
      <c r="DL183" s="72"/>
      <c r="DM183" s="72"/>
      <c r="DN183" s="72"/>
      <c r="DO183" s="72"/>
      <c r="DP183" s="72"/>
      <c r="DQ183" s="72"/>
      <c r="DR183" s="72"/>
      <c r="DS183" s="72"/>
      <c r="DT183" s="72"/>
      <c r="DU183" s="72"/>
      <c r="DV183" s="72"/>
      <c r="DW183" s="72"/>
      <c r="DX183" s="72"/>
      <c r="DY183" s="72"/>
      <c r="DZ183" s="72"/>
      <c r="EA183" s="72"/>
      <c r="EB183" s="72"/>
      <c r="EC183" s="72"/>
      <c r="ED183" s="72"/>
      <c r="EE183" s="72"/>
      <c r="EF183" s="72"/>
      <c r="EG183" s="72"/>
      <c r="EH183" s="72"/>
      <c r="EI183" s="72"/>
      <c r="EJ183" s="72"/>
      <c r="EK183" s="72"/>
      <c r="EL183" s="72"/>
      <c r="EM183" s="72"/>
      <c r="EN183" s="72"/>
      <c r="EO183" s="72"/>
      <c r="EP183" s="72"/>
      <c r="EQ183" s="72"/>
      <c r="ER183" s="72"/>
      <c r="ES183" s="72"/>
      <c r="ET183" s="72"/>
      <c r="EU183" s="72"/>
      <c r="EV183" s="72"/>
      <c r="EW183" s="72"/>
      <c r="EX183" s="72"/>
      <c r="EY183" s="72"/>
      <c r="EZ183" s="72"/>
      <c r="FA183" s="72"/>
      <c r="FB183" s="72"/>
      <c r="FC183" s="72"/>
      <c r="FD183" s="72"/>
      <c r="FE183" s="72"/>
      <c r="FF183" s="72"/>
      <c r="FG183" s="72"/>
      <c r="FH183" s="72"/>
      <c r="FI183" s="72"/>
      <c r="FJ183" s="72"/>
      <c r="FK183" s="72"/>
      <c r="FL183" s="72"/>
      <c r="FM183" s="72"/>
      <c r="FN183" s="72"/>
      <c r="FO183" s="72"/>
      <c r="FP183" s="72"/>
      <c r="FQ183" s="72"/>
      <c r="FR183" s="72"/>
      <c r="FS183" s="72"/>
      <c r="FT183" s="72"/>
      <c r="FU183" s="72"/>
      <c r="FV183" s="72"/>
    </row>
    <row r="184" spans="1:178" s="1" customFormat="1" ht="15.75">
      <c r="A184" s="436" t="s">
        <v>668</v>
      </c>
      <c r="B184" s="412"/>
      <c r="C184" s="5"/>
      <c r="D184" s="5"/>
      <c r="E184" s="5"/>
      <c r="F184" s="5"/>
      <c r="G184" s="5"/>
      <c r="H184" s="5"/>
      <c r="I184" s="5"/>
      <c r="J184" s="5"/>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c r="CX184" s="72"/>
      <c r="CY184" s="72"/>
      <c r="CZ184" s="72"/>
      <c r="DA184" s="72"/>
      <c r="DB184" s="72"/>
      <c r="DC184" s="72"/>
      <c r="DD184" s="72"/>
      <c r="DE184" s="72"/>
      <c r="DF184" s="72"/>
      <c r="DG184" s="72"/>
      <c r="DH184" s="72"/>
      <c r="DI184" s="72"/>
      <c r="DJ184" s="72"/>
      <c r="DK184" s="72"/>
      <c r="DL184" s="72"/>
      <c r="DM184" s="72"/>
      <c r="DN184" s="72"/>
      <c r="DO184" s="72"/>
      <c r="DP184" s="72"/>
      <c r="DQ184" s="72"/>
      <c r="DR184" s="72"/>
      <c r="DS184" s="72"/>
      <c r="DT184" s="72"/>
      <c r="DU184" s="72"/>
      <c r="DV184" s="72"/>
      <c r="DW184" s="72"/>
      <c r="DX184" s="72"/>
      <c r="DY184" s="72"/>
      <c r="DZ184" s="72"/>
      <c r="EA184" s="72"/>
      <c r="EB184" s="72"/>
      <c r="EC184" s="72"/>
      <c r="ED184" s="72"/>
      <c r="EE184" s="72"/>
      <c r="EF184" s="72"/>
      <c r="EG184" s="72"/>
      <c r="EH184" s="72"/>
      <c r="EI184" s="72"/>
      <c r="EJ184" s="72"/>
      <c r="EK184" s="72"/>
      <c r="EL184" s="72"/>
      <c r="EM184" s="72"/>
      <c r="EN184" s="72"/>
      <c r="EO184" s="72"/>
      <c r="EP184" s="72"/>
      <c r="EQ184" s="72"/>
      <c r="ER184" s="72"/>
      <c r="ES184" s="72"/>
      <c r="ET184" s="72"/>
      <c r="EU184" s="72"/>
      <c r="EV184" s="72"/>
      <c r="EW184" s="72"/>
      <c r="EX184" s="72"/>
      <c r="EY184" s="72"/>
      <c r="EZ184" s="72"/>
      <c r="FA184" s="72"/>
      <c r="FB184" s="72"/>
      <c r="FC184" s="72"/>
      <c r="FD184" s="72"/>
      <c r="FE184" s="72"/>
      <c r="FF184" s="72"/>
      <c r="FG184" s="72"/>
      <c r="FH184" s="72"/>
      <c r="FI184" s="72"/>
      <c r="FJ184" s="72"/>
      <c r="FK184" s="72"/>
      <c r="FL184" s="72"/>
      <c r="FM184" s="72"/>
      <c r="FN184" s="72"/>
      <c r="FO184" s="72"/>
      <c r="FP184" s="72"/>
      <c r="FQ184" s="72"/>
      <c r="FR184" s="72"/>
      <c r="FS184" s="72"/>
      <c r="FT184" s="72"/>
      <c r="FU184" s="72"/>
      <c r="FV184" s="72"/>
    </row>
    <row r="185" spans="2:178" s="1" customFormat="1" ht="15.75">
      <c r="B185" s="412"/>
      <c r="C185" s="5"/>
      <c r="D185" s="5"/>
      <c r="E185" s="5"/>
      <c r="F185" s="5"/>
      <c r="G185" s="5"/>
      <c r="H185" s="5"/>
      <c r="I185" s="5"/>
      <c r="J185" s="5"/>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c r="CR185" s="72"/>
      <c r="CS185" s="72"/>
      <c r="CT185" s="72"/>
      <c r="CU185" s="72"/>
      <c r="CV185" s="72"/>
      <c r="CW185" s="72"/>
      <c r="CX185" s="72"/>
      <c r="CY185" s="72"/>
      <c r="CZ185" s="72"/>
      <c r="DA185" s="72"/>
      <c r="DB185" s="72"/>
      <c r="DC185" s="72"/>
      <c r="DD185" s="72"/>
      <c r="DE185" s="72"/>
      <c r="DF185" s="72"/>
      <c r="DG185" s="72"/>
      <c r="DH185" s="72"/>
      <c r="DI185" s="72"/>
      <c r="DJ185" s="72"/>
      <c r="DK185" s="72"/>
      <c r="DL185" s="72"/>
      <c r="DM185" s="72"/>
      <c r="DN185" s="72"/>
      <c r="DO185" s="72"/>
      <c r="DP185" s="72"/>
      <c r="DQ185" s="72"/>
      <c r="DR185" s="72"/>
      <c r="DS185" s="72"/>
      <c r="DT185" s="72"/>
      <c r="DU185" s="72"/>
      <c r="DV185" s="72"/>
      <c r="DW185" s="72"/>
      <c r="DX185" s="72"/>
      <c r="DY185" s="72"/>
      <c r="DZ185" s="72"/>
      <c r="EA185" s="72"/>
      <c r="EB185" s="72"/>
      <c r="EC185" s="72"/>
      <c r="ED185" s="72"/>
      <c r="EE185" s="72"/>
      <c r="EF185" s="72"/>
      <c r="EG185" s="72"/>
      <c r="EH185" s="72"/>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2"/>
      <c r="FU185" s="72"/>
      <c r="FV185" s="72"/>
    </row>
    <row r="186" spans="2:178" s="1" customFormat="1" ht="15.75">
      <c r="B186" s="412"/>
      <c r="C186" s="5"/>
      <c r="D186" s="5"/>
      <c r="E186" s="5"/>
      <c r="F186" s="5"/>
      <c r="G186" s="5"/>
      <c r="H186" s="5"/>
      <c r="I186" s="5"/>
      <c r="J186" s="5"/>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c r="CR186" s="72"/>
      <c r="CS186" s="72"/>
      <c r="CT186" s="72"/>
      <c r="CU186" s="72"/>
      <c r="CV186" s="72"/>
      <c r="CW186" s="72"/>
      <c r="CX186" s="72"/>
      <c r="CY186" s="72"/>
      <c r="CZ186" s="72"/>
      <c r="DA186" s="72"/>
      <c r="DB186" s="72"/>
      <c r="DC186" s="72"/>
      <c r="DD186" s="72"/>
      <c r="DE186" s="72"/>
      <c r="DF186" s="72"/>
      <c r="DG186" s="72"/>
      <c r="DH186" s="72"/>
      <c r="DI186" s="72"/>
      <c r="DJ186" s="72"/>
      <c r="DK186" s="72"/>
      <c r="DL186" s="72"/>
      <c r="DM186" s="72"/>
      <c r="DN186" s="72"/>
      <c r="DO186" s="72"/>
      <c r="DP186" s="72"/>
      <c r="DQ186" s="72"/>
      <c r="DR186" s="72"/>
      <c r="DS186" s="72"/>
      <c r="DT186" s="72"/>
      <c r="DU186" s="72"/>
      <c r="DV186" s="72"/>
      <c r="DW186" s="72"/>
      <c r="DX186" s="72"/>
      <c r="DY186" s="72"/>
      <c r="DZ186" s="72"/>
      <c r="EA186" s="72"/>
      <c r="EB186" s="72"/>
      <c r="EC186" s="72"/>
      <c r="ED186" s="72"/>
      <c r="EE186" s="72"/>
      <c r="EF186" s="72"/>
      <c r="EG186" s="72"/>
      <c r="EH186" s="72"/>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c r="FR186" s="72"/>
      <c r="FS186" s="72"/>
      <c r="FT186" s="72"/>
      <c r="FU186" s="72"/>
      <c r="FV186" s="72"/>
    </row>
    <row r="187" spans="2:178" s="1" customFormat="1" ht="15.75">
      <c r="B187" s="412"/>
      <c r="C187" s="5"/>
      <c r="D187" s="5"/>
      <c r="E187" s="5"/>
      <c r="F187" s="5"/>
      <c r="G187" s="5"/>
      <c r="H187" s="5"/>
      <c r="I187" s="5"/>
      <c r="J187" s="5"/>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c r="CR187" s="72"/>
      <c r="CS187" s="72"/>
      <c r="CT187" s="72"/>
      <c r="CU187" s="72"/>
      <c r="CV187" s="72"/>
      <c r="CW187" s="72"/>
      <c r="CX187" s="72"/>
      <c r="CY187" s="72"/>
      <c r="CZ187" s="72"/>
      <c r="DA187" s="72"/>
      <c r="DB187" s="72"/>
      <c r="DC187" s="72"/>
      <c r="DD187" s="72"/>
      <c r="DE187" s="72"/>
      <c r="DF187" s="72"/>
      <c r="DG187" s="72"/>
      <c r="DH187" s="72"/>
      <c r="DI187" s="72"/>
      <c r="DJ187" s="72"/>
      <c r="DK187" s="72"/>
      <c r="DL187" s="72"/>
      <c r="DM187" s="72"/>
      <c r="DN187" s="72"/>
      <c r="DO187" s="72"/>
      <c r="DP187" s="72"/>
      <c r="DQ187" s="72"/>
      <c r="DR187" s="72"/>
      <c r="DS187" s="72"/>
      <c r="DT187" s="72"/>
      <c r="DU187" s="72"/>
      <c r="DV187" s="72"/>
      <c r="DW187" s="72"/>
      <c r="DX187" s="72"/>
      <c r="DY187" s="72"/>
      <c r="DZ187" s="72"/>
      <c r="EA187" s="72"/>
      <c r="EB187" s="72"/>
      <c r="EC187" s="72"/>
      <c r="ED187" s="72"/>
      <c r="EE187" s="72"/>
      <c r="EF187" s="72"/>
      <c r="EG187" s="72"/>
      <c r="EH187" s="72"/>
      <c r="EI187" s="72"/>
      <c r="EJ187" s="72"/>
      <c r="EK187" s="72"/>
      <c r="EL187" s="72"/>
      <c r="EM187" s="72"/>
      <c r="EN187" s="72"/>
      <c r="EO187" s="72"/>
      <c r="EP187" s="72"/>
      <c r="EQ187" s="72"/>
      <c r="ER187" s="72"/>
      <c r="ES187" s="72"/>
      <c r="ET187" s="72"/>
      <c r="EU187" s="72"/>
      <c r="EV187" s="72"/>
      <c r="EW187" s="72"/>
      <c r="EX187" s="72"/>
      <c r="EY187" s="72"/>
      <c r="EZ187" s="72"/>
      <c r="FA187" s="72"/>
      <c r="FB187" s="72"/>
      <c r="FC187" s="72"/>
      <c r="FD187" s="72"/>
      <c r="FE187" s="72"/>
      <c r="FF187" s="72"/>
      <c r="FG187" s="72"/>
      <c r="FH187" s="72"/>
      <c r="FI187" s="72"/>
      <c r="FJ187" s="72"/>
      <c r="FK187" s="72"/>
      <c r="FL187" s="72"/>
      <c r="FM187" s="72"/>
      <c r="FN187" s="72"/>
      <c r="FO187" s="72"/>
      <c r="FP187" s="72"/>
      <c r="FQ187" s="72"/>
      <c r="FR187" s="72"/>
      <c r="FS187" s="72"/>
      <c r="FT187" s="72"/>
      <c r="FU187" s="72"/>
      <c r="FV187" s="72"/>
    </row>
    <row r="188" spans="2:178" s="1" customFormat="1" ht="15.75">
      <c r="B188" s="412"/>
      <c r="C188" s="2"/>
      <c r="D188" s="5"/>
      <c r="E188" s="5"/>
      <c r="F188" s="5"/>
      <c r="G188" s="5"/>
      <c r="H188" s="5"/>
      <c r="I188" s="5"/>
      <c r="J188" s="5"/>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c r="CX188" s="72"/>
      <c r="CY188" s="72"/>
      <c r="CZ188" s="72"/>
      <c r="DA188" s="72"/>
      <c r="DB188" s="72"/>
      <c r="DC188" s="72"/>
      <c r="DD188" s="72"/>
      <c r="DE188" s="72"/>
      <c r="DF188" s="72"/>
      <c r="DG188" s="72"/>
      <c r="DH188" s="72"/>
      <c r="DI188" s="72"/>
      <c r="DJ188" s="72"/>
      <c r="DK188" s="72"/>
      <c r="DL188" s="72"/>
      <c r="DM188" s="72"/>
      <c r="DN188" s="72"/>
      <c r="DO188" s="72"/>
      <c r="DP188" s="72"/>
      <c r="DQ188" s="72"/>
      <c r="DR188" s="72"/>
      <c r="DS188" s="72"/>
      <c r="DT188" s="72"/>
      <c r="DU188" s="72"/>
      <c r="DV188" s="72"/>
      <c r="DW188" s="72"/>
      <c r="DX188" s="72"/>
      <c r="DY188" s="72"/>
      <c r="DZ188" s="72"/>
      <c r="EA188" s="72"/>
      <c r="EB188" s="72"/>
      <c r="EC188" s="72"/>
      <c r="ED188" s="72"/>
      <c r="EE188" s="72"/>
      <c r="EF188" s="72"/>
      <c r="EG188" s="72"/>
      <c r="EH188" s="72"/>
      <c r="EI188" s="72"/>
      <c r="EJ188" s="72"/>
      <c r="EK188" s="72"/>
      <c r="EL188" s="72"/>
      <c r="EM188" s="72"/>
      <c r="EN188" s="72"/>
      <c r="EO188" s="72"/>
      <c r="EP188" s="72"/>
      <c r="EQ188" s="72"/>
      <c r="ER188" s="72"/>
      <c r="ES188" s="72"/>
      <c r="ET188" s="72"/>
      <c r="EU188" s="72"/>
      <c r="EV188" s="72"/>
      <c r="EW188" s="72"/>
      <c r="EX188" s="72"/>
      <c r="EY188" s="72"/>
      <c r="EZ188" s="72"/>
      <c r="FA188" s="72"/>
      <c r="FB188" s="72"/>
      <c r="FC188" s="72"/>
      <c r="FD188" s="72"/>
      <c r="FE188" s="72"/>
      <c r="FF188" s="72"/>
      <c r="FG188" s="72"/>
      <c r="FH188" s="72"/>
      <c r="FI188" s="72"/>
      <c r="FJ188" s="72"/>
      <c r="FK188" s="72"/>
      <c r="FL188" s="72"/>
      <c r="FM188" s="72"/>
      <c r="FN188" s="72"/>
      <c r="FO188" s="72"/>
      <c r="FP188" s="72"/>
      <c r="FQ188" s="72"/>
      <c r="FR188" s="72"/>
      <c r="FS188" s="72"/>
      <c r="FT188" s="72"/>
      <c r="FU188" s="72"/>
      <c r="FV188" s="72"/>
    </row>
    <row r="189" spans="2:178" s="1" customFormat="1" ht="15.75">
      <c r="B189" s="412"/>
      <c r="C189" s="5"/>
      <c r="D189" s="5"/>
      <c r="E189" s="5"/>
      <c r="F189" s="5"/>
      <c r="G189" s="5"/>
      <c r="H189" s="5"/>
      <c r="I189" s="5"/>
      <c r="J189" s="5"/>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c r="CR189" s="72"/>
      <c r="CS189" s="72"/>
      <c r="CT189" s="72"/>
      <c r="CU189" s="72"/>
      <c r="CV189" s="72"/>
      <c r="CW189" s="72"/>
      <c r="CX189" s="72"/>
      <c r="CY189" s="72"/>
      <c r="CZ189" s="72"/>
      <c r="DA189" s="72"/>
      <c r="DB189" s="72"/>
      <c r="DC189" s="72"/>
      <c r="DD189" s="72"/>
      <c r="DE189" s="72"/>
      <c r="DF189" s="72"/>
      <c r="DG189" s="72"/>
      <c r="DH189" s="72"/>
      <c r="DI189" s="72"/>
      <c r="DJ189" s="72"/>
      <c r="DK189" s="72"/>
      <c r="DL189" s="72"/>
      <c r="DM189" s="72"/>
      <c r="DN189" s="72"/>
      <c r="DO189" s="72"/>
      <c r="DP189" s="72"/>
      <c r="DQ189" s="72"/>
      <c r="DR189" s="72"/>
      <c r="DS189" s="72"/>
      <c r="DT189" s="72"/>
      <c r="DU189" s="72"/>
      <c r="DV189" s="72"/>
      <c r="DW189" s="72"/>
      <c r="DX189" s="72"/>
      <c r="DY189" s="72"/>
      <c r="DZ189" s="72"/>
      <c r="EA189" s="72"/>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c r="FR189" s="72"/>
      <c r="FS189" s="72"/>
      <c r="FT189" s="72"/>
      <c r="FU189" s="72"/>
      <c r="FV189" s="72"/>
    </row>
    <row r="190" spans="2:178" s="1" customFormat="1" ht="15.75">
      <c r="B190" s="412"/>
      <c r="C190" s="5"/>
      <c r="D190" s="5"/>
      <c r="E190" s="5"/>
      <c r="F190" s="5"/>
      <c r="G190" s="5"/>
      <c r="H190" s="5"/>
      <c r="I190" s="5"/>
      <c r="J190" s="5"/>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c r="CR190" s="72"/>
      <c r="CS190" s="72"/>
      <c r="CT190" s="72"/>
      <c r="CU190" s="72"/>
      <c r="CV190" s="72"/>
      <c r="CW190" s="72"/>
      <c r="CX190" s="72"/>
      <c r="CY190" s="72"/>
      <c r="CZ190" s="72"/>
      <c r="DA190" s="72"/>
      <c r="DB190" s="72"/>
      <c r="DC190" s="72"/>
      <c r="DD190" s="72"/>
      <c r="DE190" s="72"/>
      <c r="DF190" s="72"/>
      <c r="DG190" s="72"/>
      <c r="DH190" s="72"/>
      <c r="DI190" s="72"/>
      <c r="DJ190" s="72"/>
      <c r="DK190" s="72"/>
      <c r="DL190" s="72"/>
      <c r="DM190" s="72"/>
      <c r="DN190" s="72"/>
      <c r="DO190" s="72"/>
      <c r="DP190" s="72"/>
      <c r="DQ190" s="72"/>
      <c r="DR190" s="72"/>
      <c r="DS190" s="72"/>
      <c r="DT190" s="72"/>
      <c r="DU190" s="72"/>
      <c r="DV190" s="72"/>
      <c r="DW190" s="72"/>
      <c r="DX190" s="72"/>
      <c r="DY190" s="72"/>
      <c r="DZ190" s="72"/>
      <c r="EA190" s="72"/>
      <c r="EB190" s="72"/>
      <c r="EC190" s="72"/>
      <c r="ED190" s="72"/>
      <c r="EE190" s="72"/>
      <c r="EF190" s="72"/>
      <c r="EG190" s="72"/>
      <c r="EH190" s="72"/>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c r="FR190" s="72"/>
      <c r="FS190" s="72"/>
      <c r="FT190" s="72"/>
      <c r="FU190" s="72"/>
      <c r="FV190" s="72"/>
    </row>
    <row r="191" spans="2:178" s="1" customFormat="1" ht="15.75">
      <c r="B191" s="412"/>
      <c r="C191" s="5"/>
      <c r="D191" s="5"/>
      <c r="E191" s="5"/>
      <c r="F191" s="5"/>
      <c r="G191" s="5"/>
      <c r="H191" s="5"/>
      <c r="I191" s="5"/>
      <c r="J191" s="5"/>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c r="CX191" s="72"/>
      <c r="CY191" s="72"/>
      <c r="CZ191" s="72"/>
      <c r="DA191" s="72"/>
      <c r="DB191" s="72"/>
      <c r="DC191" s="72"/>
      <c r="DD191" s="72"/>
      <c r="DE191" s="72"/>
      <c r="DF191" s="72"/>
      <c r="DG191" s="72"/>
      <c r="DH191" s="72"/>
      <c r="DI191" s="72"/>
      <c r="DJ191" s="72"/>
      <c r="DK191" s="72"/>
      <c r="DL191" s="72"/>
      <c r="DM191" s="72"/>
      <c r="DN191" s="72"/>
      <c r="DO191" s="72"/>
      <c r="DP191" s="72"/>
      <c r="DQ191" s="72"/>
      <c r="DR191" s="72"/>
      <c r="DS191" s="72"/>
      <c r="DT191" s="72"/>
      <c r="DU191" s="72"/>
      <c r="DV191" s="72"/>
      <c r="DW191" s="72"/>
      <c r="DX191" s="72"/>
      <c r="DY191" s="72"/>
      <c r="DZ191" s="72"/>
      <c r="EA191" s="72"/>
      <c r="EB191" s="72"/>
      <c r="EC191" s="72"/>
      <c r="ED191" s="72"/>
      <c r="EE191" s="72"/>
      <c r="EF191" s="72"/>
      <c r="EG191" s="72"/>
      <c r="EH191" s="72"/>
      <c r="EI191" s="72"/>
      <c r="EJ191" s="72"/>
      <c r="EK191" s="72"/>
      <c r="EL191" s="72"/>
      <c r="EM191" s="72"/>
      <c r="EN191" s="72"/>
      <c r="EO191" s="72"/>
      <c r="EP191" s="72"/>
      <c r="EQ191" s="72"/>
      <c r="ER191" s="72"/>
      <c r="ES191" s="72"/>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c r="FR191" s="72"/>
      <c r="FS191" s="72"/>
      <c r="FT191" s="72"/>
      <c r="FU191" s="72"/>
      <c r="FV191" s="72"/>
    </row>
    <row r="192" spans="2:178" s="1" customFormat="1" ht="15.75">
      <c r="B192" s="412"/>
      <c r="C192" s="5"/>
      <c r="D192" s="5"/>
      <c r="E192" s="5"/>
      <c r="F192" s="5"/>
      <c r="G192" s="5"/>
      <c r="H192" s="5"/>
      <c r="I192" s="5"/>
      <c r="J192" s="5"/>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72"/>
      <c r="DH192" s="72"/>
      <c r="DI192" s="72"/>
      <c r="DJ192" s="72"/>
      <c r="DK192" s="72"/>
      <c r="DL192" s="72"/>
      <c r="DM192" s="72"/>
      <c r="DN192" s="72"/>
      <c r="DO192" s="72"/>
      <c r="DP192" s="72"/>
      <c r="DQ192" s="72"/>
      <c r="DR192" s="72"/>
      <c r="DS192" s="72"/>
      <c r="DT192" s="72"/>
      <c r="DU192" s="72"/>
      <c r="DV192" s="72"/>
      <c r="DW192" s="72"/>
      <c r="DX192" s="72"/>
      <c r="DY192" s="72"/>
      <c r="DZ192" s="72"/>
      <c r="EA192" s="72"/>
      <c r="EB192" s="72"/>
      <c r="EC192" s="72"/>
      <c r="ED192" s="72"/>
      <c r="EE192" s="72"/>
      <c r="EF192" s="72"/>
      <c r="EG192" s="72"/>
      <c r="EH192" s="72"/>
      <c r="EI192" s="72"/>
      <c r="EJ192" s="72"/>
      <c r="EK192" s="72"/>
      <c r="EL192" s="72"/>
      <c r="EM192" s="72"/>
      <c r="EN192" s="72"/>
      <c r="EO192" s="72"/>
      <c r="EP192" s="72"/>
      <c r="EQ192" s="72"/>
      <c r="ER192" s="72"/>
      <c r="ES192" s="72"/>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c r="FR192" s="72"/>
      <c r="FS192" s="72"/>
      <c r="FT192" s="72"/>
      <c r="FU192" s="72"/>
      <c r="FV192" s="72"/>
    </row>
    <row r="193" spans="2:178" s="1" customFormat="1" ht="15.75">
      <c r="B193" s="412"/>
      <c r="C193" s="5"/>
      <c r="D193" s="5"/>
      <c r="E193" s="5"/>
      <c r="F193" s="5"/>
      <c r="G193" s="5"/>
      <c r="H193" s="5"/>
      <c r="I193" s="5"/>
      <c r="J193" s="5"/>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c r="CR193" s="72"/>
      <c r="CS193" s="72"/>
      <c r="CT193" s="72"/>
      <c r="CU193" s="72"/>
      <c r="CV193" s="72"/>
      <c r="CW193" s="72"/>
      <c r="CX193" s="72"/>
      <c r="CY193" s="72"/>
      <c r="CZ193" s="72"/>
      <c r="DA193" s="72"/>
      <c r="DB193" s="72"/>
      <c r="DC193" s="72"/>
      <c r="DD193" s="72"/>
      <c r="DE193" s="72"/>
      <c r="DF193" s="72"/>
      <c r="DG193" s="72"/>
      <c r="DH193" s="72"/>
      <c r="DI193" s="72"/>
      <c r="DJ193" s="72"/>
      <c r="DK193" s="72"/>
      <c r="DL193" s="72"/>
      <c r="DM193" s="72"/>
      <c r="DN193" s="72"/>
      <c r="DO193" s="72"/>
      <c r="DP193" s="72"/>
      <c r="DQ193" s="72"/>
      <c r="DR193" s="72"/>
      <c r="DS193" s="72"/>
      <c r="DT193" s="72"/>
      <c r="DU193" s="72"/>
      <c r="DV193" s="72"/>
      <c r="DW193" s="72"/>
      <c r="DX193" s="72"/>
      <c r="DY193" s="72"/>
      <c r="DZ193" s="72"/>
      <c r="EA193" s="72"/>
      <c r="EB193" s="72"/>
      <c r="EC193" s="72"/>
      <c r="ED193" s="72"/>
      <c r="EE193" s="72"/>
      <c r="EF193" s="72"/>
      <c r="EG193" s="72"/>
      <c r="EH193" s="72"/>
      <c r="EI193" s="72"/>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c r="FR193" s="72"/>
      <c r="FS193" s="72"/>
      <c r="FT193" s="72"/>
      <c r="FU193" s="72"/>
      <c r="FV193" s="72"/>
    </row>
    <row r="194" spans="2:178" s="1" customFormat="1" ht="15.75">
      <c r="B194" s="412"/>
      <c r="C194" s="5"/>
      <c r="D194" s="5"/>
      <c r="E194" s="5"/>
      <c r="F194" s="5"/>
      <c r="G194" s="5"/>
      <c r="H194" s="5"/>
      <c r="I194" s="5"/>
      <c r="J194" s="5"/>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row>
    <row r="195" spans="2:178" s="1" customFormat="1" ht="18.75" customHeight="1">
      <c r="B195" s="412"/>
      <c r="C195" s="5"/>
      <c r="D195" s="5"/>
      <c r="E195" s="5"/>
      <c r="F195" s="5"/>
      <c r="G195" s="5"/>
      <c r="H195" s="5"/>
      <c r="I195" s="5"/>
      <c r="J195" s="5"/>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row>
    <row r="196" spans="2:178" s="2" customFormat="1" ht="15.75">
      <c r="B196" s="413"/>
      <c r="C196" s="5"/>
      <c r="D196" s="5"/>
      <c r="E196" s="5"/>
      <c r="F196" s="5"/>
      <c r="G196" s="5"/>
      <c r="H196" s="5"/>
      <c r="I196" s="5"/>
      <c r="J196" s="5"/>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row>
    <row r="197" spans="2:178" s="1" customFormat="1" ht="15.75">
      <c r="B197" s="412"/>
      <c r="C197" s="5"/>
      <c r="D197" s="5"/>
      <c r="E197" s="5"/>
      <c r="F197" s="5"/>
      <c r="G197" s="5"/>
      <c r="H197" s="5"/>
      <c r="I197" s="5"/>
      <c r="J197" s="5"/>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row>
    <row r="198" spans="2:178" s="1" customFormat="1" ht="15.75">
      <c r="B198" s="412"/>
      <c r="C198" s="5"/>
      <c r="D198" s="5"/>
      <c r="E198" s="5"/>
      <c r="F198" s="5"/>
      <c r="G198" s="5"/>
      <c r="H198" s="5"/>
      <c r="I198" s="5"/>
      <c r="J198" s="5"/>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row>
    <row r="199" spans="2:178" s="1" customFormat="1" ht="15.75">
      <c r="B199" s="412"/>
      <c r="C199" s="5"/>
      <c r="D199" s="5"/>
      <c r="E199" s="5"/>
      <c r="F199" s="5"/>
      <c r="G199" s="5"/>
      <c r="H199" s="5"/>
      <c r="I199" s="5"/>
      <c r="J199" s="5"/>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row>
    <row r="200" spans="2:178" s="1" customFormat="1" ht="15.75">
      <c r="B200" s="412"/>
      <c r="C200" s="5"/>
      <c r="D200" s="5"/>
      <c r="E200" s="5"/>
      <c r="F200" s="5"/>
      <c r="G200" s="5"/>
      <c r="H200" s="5"/>
      <c r="I200" s="5"/>
      <c r="J200" s="5"/>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row>
    <row r="201" spans="2:178" s="1" customFormat="1" ht="15.75">
      <c r="B201" s="412"/>
      <c r="C201" s="5"/>
      <c r="D201" s="5"/>
      <c r="E201" s="5"/>
      <c r="F201" s="5"/>
      <c r="G201" s="5"/>
      <c r="H201" s="5"/>
      <c r="I201" s="5"/>
      <c r="J201" s="5"/>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row>
    <row r="202" spans="2:178" s="3" customFormat="1" ht="15.75">
      <c r="B202" s="412"/>
      <c r="C202" s="5"/>
      <c r="D202" s="6"/>
      <c r="E202" s="6"/>
      <c r="F202" s="6"/>
      <c r="G202" s="6"/>
      <c r="H202" s="6"/>
      <c r="I202" s="6"/>
      <c r="J202" s="6"/>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c r="FS202" s="78"/>
      <c r="FT202" s="78"/>
      <c r="FU202" s="78"/>
      <c r="FV202" s="78"/>
    </row>
    <row r="203" spans="2:178" s="1" customFormat="1" ht="15.75">
      <c r="B203" s="412"/>
      <c r="C203" s="2"/>
      <c r="D203" s="2"/>
      <c r="E203" s="2"/>
      <c r="F203" s="2"/>
      <c r="G203" s="2"/>
      <c r="H203" s="2"/>
      <c r="I203" s="2"/>
      <c r="J203" s="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row>
    <row r="204" spans="2:178" s="1" customFormat="1" ht="15.75">
      <c r="B204" s="412"/>
      <c r="C204" s="2"/>
      <c r="D204" s="2"/>
      <c r="E204" s="2"/>
      <c r="F204" s="2"/>
      <c r="G204" s="2"/>
      <c r="H204" s="2"/>
      <c r="I204" s="2"/>
      <c r="J204" s="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row>
    <row r="205" spans="2:178" s="1" customFormat="1" ht="15.75">
      <c r="B205" s="412"/>
      <c r="C205" s="2"/>
      <c r="D205" s="2"/>
      <c r="E205" s="2"/>
      <c r="F205" s="2"/>
      <c r="G205" s="2"/>
      <c r="H205" s="2"/>
      <c r="I205" s="2"/>
      <c r="J205" s="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row>
    <row r="206" spans="2:178" s="1" customFormat="1" ht="15.75">
      <c r="B206" s="412"/>
      <c r="C206" s="2"/>
      <c r="D206" s="2"/>
      <c r="E206" s="2"/>
      <c r="F206" s="2"/>
      <c r="G206" s="2"/>
      <c r="H206" s="2"/>
      <c r="I206" s="2"/>
      <c r="J206" s="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row>
    <row r="207" spans="2:178" s="1" customFormat="1" ht="15.75">
      <c r="B207" s="412"/>
      <c r="C207" s="2"/>
      <c r="D207" s="2"/>
      <c r="E207" s="2"/>
      <c r="F207" s="2"/>
      <c r="G207" s="2"/>
      <c r="H207" s="2"/>
      <c r="I207" s="2"/>
      <c r="J207" s="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row>
    <row r="208" spans="2:178" s="1" customFormat="1" ht="15.75">
      <c r="B208" s="412"/>
      <c r="C208" s="2"/>
      <c r="D208" s="2"/>
      <c r="E208" s="2"/>
      <c r="F208" s="2"/>
      <c r="G208" s="2"/>
      <c r="H208" s="2"/>
      <c r="I208" s="2"/>
      <c r="J208" s="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row>
    <row r="209" spans="2:178" s="1" customFormat="1" ht="15.75">
      <c r="B209" s="412"/>
      <c r="C209" s="2"/>
      <c r="D209" s="2"/>
      <c r="E209" s="2"/>
      <c r="F209" s="2"/>
      <c r="G209" s="2"/>
      <c r="H209" s="2"/>
      <c r="I209" s="2"/>
      <c r="J209" s="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row>
    <row r="210" spans="2:178" s="1" customFormat="1" ht="15.75">
      <c r="B210" s="412"/>
      <c r="C210" s="2"/>
      <c r="D210" s="2"/>
      <c r="E210" s="2"/>
      <c r="F210" s="2"/>
      <c r="G210" s="2"/>
      <c r="H210" s="2"/>
      <c r="I210" s="2"/>
      <c r="J210" s="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row>
    <row r="211" spans="2:178" s="1" customFormat="1" ht="15.75">
      <c r="B211" s="41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row>
    <row r="212" spans="2:178" s="1" customFormat="1" ht="15.75">
      <c r="B212" s="41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row>
    <row r="213" spans="2:178" s="1" customFormat="1" ht="15.75">
      <c r="B213" s="41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row>
    <row r="214" spans="2:178" s="1" customFormat="1" ht="15.75">
      <c r="B214" s="41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row>
    <row r="215" spans="2:178" s="1" customFormat="1" ht="15.75">
      <c r="B215" s="41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row>
    <row r="216" spans="2:178" s="1" customFormat="1" ht="15.75">
      <c r="B216" s="41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row>
    <row r="217" spans="2:178" s="1" customFormat="1" ht="15.75">
      <c r="B217" s="41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row>
    <row r="218" spans="2:178" s="1" customFormat="1" ht="15.75">
      <c r="B218" s="41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row>
    <row r="219" spans="2:178" s="1" customFormat="1" ht="15.75">
      <c r="B219" s="41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c r="CI219" s="72"/>
      <c r="CJ219" s="72"/>
      <c r="CK219" s="72"/>
      <c r="CL219" s="72"/>
      <c r="CM219" s="72"/>
      <c r="CN219" s="72"/>
      <c r="CO219" s="72"/>
      <c r="CP219" s="72"/>
      <c r="CQ219" s="72"/>
      <c r="CR219" s="72"/>
      <c r="CS219" s="72"/>
      <c r="CT219" s="72"/>
      <c r="CU219" s="72"/>
      <c r="CV219" s="72"/>
      <c r="CW219" s="72"/>
      <c r="CX219" s="72"/>
      <c r="CY219" s="72"/>
      <c r="CZ219" s="72"/>
      <c r="DA219" s="72"/>
      <c r="DB219" s="72"/>
      <c r="DC219" s="72"/>
      <c r="DD219" s="72"/>
      <c r="DE219" s="72"/>
      <c r="DF219" s="72"/>
      <c r="DG219" s="72"/>
      <c r="DH219" s="72"/>
      <c r="DI219" s="72"/>
      <c r="DJ219" s="72"/>
      <c r="DK219" s="72"/>
      <c r="DL219" s="72"/>
      <c r="DM219" s="72"/>
      <c r="DN219" s="72"/>
      <c r="DO219" s="72"/>
      <c r="DP219" s="72"/>
      <c r="DQ219" s="72"/>
      <c r="DR219" s="72"/>
      <c r="DS219" s="72"/>
      <c r="DT219" s="72"/>
      <c r="DU219" s="72"/>
      <c r="DV219" s="72"/>
      <c r="DW219" s="72"/>
      <c r="DX219" s="72"/>
      <c r="DY219" s="72"/>
      <c r="DZ219" s="72"/>
      <c r="EA219" s="72"/>
      <c r="EB219" s="72"/>
      <c r="EC219" s="72"/>
      <c r="ED219" s="72"/>
      <c r="EE219" s="72"/>
      <c r="EF219" s="72"/>
      <c r="EG219" s="72"/>
      <c r="EH219" s="72"/>
      <c r="EI219" s="72"/>
      <c r="EJ219" s="72"/>
      <c r="EK219" s="72"/>
      <c r="EL219" s="72"/>
      <c r="EM219" s="72"/>
      <c r="EN219" s="72"/>
      <c r="EO219" s="72"/>
      <c r="EP219" s="72"/>
      <c r="EQ219" s="72"/>
      <c r="ER219" s="72"/>
      <c r="ES219" s="72"/>
      <c r="ET219" s="72"/>
      <c r="EU219" s="72"/>
      <c r="EV219" s="72"/>
      <c r="EW219" s="72"/>
      <c r="EX219" s="72"/>
      <c r="EY219" s="72"/>
      <c r="EZ219" s="72"/>
      <c r="FA219" s="72"/>
      <c r="FB219" s="72"/>
      <c r="FC219" s="72"/>
      <c r="FD219" s="72"/>
      <c r="FE219" s="72"/>
      <c r="FF219" s="72"/>
      <c r="FG219" s="72"/>
      <c r="FH219" s="72"/>
      <c r="FI219" s="72"/>
      <c r="FJ219" s="72"/>
      <c r="FK219" s="72"/>
      <c r="FL219" s="72"/>
      <c r="FM219" s="72"/>
      <c r="FN219" s="72"/>
      <c r="FO219" s="72"/>
      <c r="FP219" s="72"/>
      <c r="FQ219" s="72"/>
      <c r="FR219" s="72"/>
      <c r="FS219" s="72"/>
      <c r="FT219" s="72"/>
      <c r="FU219" s="72"/>
      <c r="FV219" s="72"/>
    </row>
    <row r="220" spans="2:178" s="1" customFormat="1" ht="15.75">
      <c r="B220" s="41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c r="CI220" s="72"/>
      <c r="CJ220" s="72"/>
      <c r="CK220" s="72"/>
      <c r="CL220" s="72"/>
      <c r="CM220" s="72"/>
      <c r="CN220" s="72"/>
      <c r="CO220" s="72"/>
      <c r="CP220" s="72"/>
      <c r="CQ220" s="72"/>
      <c r="CR220" s="72"/>
      <c r="CS220" s="72"/>
      <c r="CT220" s="72"/>
      <c r="CU220" s="72"/>
      <c r="CV220" s="72"/>
      <c r="CW220" s="72"/>
      <c r="CX220" s="72"/>
      <c r="CY220" s="72"/>
      <c r="CZ220" s="72"/>
      <c r="DA220" s="72"/>
      <c r="DB220" s="72"/>
      <c r="DC220" s="72"/>
      <c r="DD220" s="72"/>
      <c r="DE220" s="72"/>
      <c r="DF220" s="72"/>
      <c r="DG220" s="72"/>
      <c r="DH220" s="72"/>
      <c r="DI220" s="72"/>
      <c r="DJ220" s="72"/>
      <c r="DK220" s="72"/>
      <c r="DL220" s="72"/>
      <c r="DM220" s="72"/>
      <c r="DN220" s="72"/>
      <c r="DO220" s="72"/>
      <c r="DP220" s="72"/>
      <c r="DQ220" s="72"/>
      <c r="DR220" s="72"/>
      <c r="DS220" s="72"/>
      <c r="DT220" s="72"/>
      <c r="DU220" s="72"/>
      <c r="DV220" s="72"/>
      <c r="DW220" s="72"/>
      <c r="DX220" s="72"/>
      <c r="DY220" s="72"/>
      <c r="DZ220" s="72"/>
      <c r="EA220" s="72"/>
      <c r="EB220" s="72"/>
      <c r="EC220" s="72"/>
      <c r="ED220" s="72"/>
      <c r="EE220" s="72"/>
      <c r="EF220" s="72"/>
      <c r="EG220" s="72"/>
      <c r="EH220" s="72"/>
      <c r="EI220" s="72"/>
      <c r="EJ220" s="72"/>
      <c r="EK220" s="72"/>
      <c r="EL220" s="72"/>
      <c r="EM220" s="72"/>
      <c r="EN220" s="72"/>
      <c r="EO220" s="72"/>
      <c r="EP220" s="72"/>
      <c r="EQ220" s="72"/>
      <c r="ER220" s="72"/>
      <c r="ES220" s="72"/>
      <c r="ET220" s="72"/>
      <c r="EU220" s="72"/>
      <c r="EV220" s="72"/>
      <c r="EW220" s="72"/>
      <c r="EX220" s="72"/>
      <c r="EY220" s="72"/>
      <c r="EZ220" s="72"/>
      <c r="FA220" s="72"/>
      <c r="FB220" s="72"/>
      <c r="FC220" s="72"/>
      <c r="FD220" s="72"/>
      <c r="FE220" s="72"/>
      <c r="FF220" s="72"/>
      <c r="FG220" s="72"/>
      <c r="FH220" s="72"/>
      <c r="FI220" s="72"/>
      <c r="FJ220" s="72"/>
      <c r="FK220" s="72"/>
      <c r="FL220" s="72"/>
      <c r="FM220" s="72"/>
      <c r="FN220" s="72"/>
      <c r="FO220" s="72"/>
      <c r="FP220" s="72"/>
      <c r="FQ220" s="72"/>
      <c r="FR220" s="72"/>
      <c r="FS220" s="72"/>
      <c r="FT220" s="72"/>
      <c r="FU220" s="72"/>
      <c r="FV220" s="72"/>
    </row>
    <row r="221" spans="2:178" s="1" customFormat="1" ht="15.75">
      <c r="B221" s="41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c r="CR221" s="72"/>
      <c r="CS221" s="72"/>
      <c r="CT221" s="72"/>
      <c r="CU221" s="72"/>
      <c r="CV221" s="72"/>
      <c r="CW221" s="72"/>
      <c r="CX221" s="72"/>
      <c r="CY221" s="72"/>
      <c r="CZ221" s="72"/>
      <c r="DA221" s="72"/>
      <c r="DB221" s="72"/>
      <c r="DC221" s="72"/>
      <c r="DD221" s="72"/>
      <c r="DE221" s="72"/>
      <c r="DF221" s="72"/>
      <c r="DG221" s="72"/>
      <c r="DH221" s="72"/>
      <c r="DI221" s="72"/>
      <c r="DJ221" s="72"/>
      <c r="DK221" s="72"/>
      <c r="DL221" s="72"/>
      <c r="DM221" s="72"/>
      <c r="DN221" s="72"/>
      <c r="DO221" s="72"/>
      <c r="DP221" s="72"/>
      <c r="DQ221" s="72"/>
      <c r="DR221" s="72"/>
      <c r="DS221" s="72"/>
      <c r="DT221" s="72"/>
      <c r="DU221" s="72"/>
      <c r="DV221" s="72"/>
      <c r="DW221" s="72"/>
      <c r="DX221" s="72"/>
      <c r="DY221" s="72"/>
      <c r="DZ221" s="72"/>
      <c r="EA221" s="72"/>
      <c r="EB221" s="72"/>
      <c r="EC221" s="72"/>
      <c r="ED221" s="72"/>
      <c r="EE221" s="72"/>
      <c r="EF221" s="72"/>
      <c r="EG221" s="72"/>
      <c r="EH221" s="72"/>
      <c r="EI221" s="72"/>
      <c r="EJ221" s="72"/>
      <c r="EK221" s="72"/>
      <c r="EL221" s="72"/>
      <c r="EM221" s="72"/>
      <c r="EN221" s="72"/>
      <c r="EO221" s="72"/>
      <c r="EP221" s="72"/>
      <c r="EQ221" s="72"/>
      <c r="ER221" s="72"/>
      <c r="ES221" s="72"/>
      <c r="ET221" s="72"/>
      <c r="EU221" s="72"/>
      <c r="EV221" s="72"/>
      <c r="EW221" s="72"/>
      <c r="EX221" s="72"/>
      <c r="EY221" s="72"/>
      <c r="EZ221" s="72"/>
      <c r="FA221" s="72"/>
      <c r="FB221" s="72"/>
      <c r="FC221" s="72"/>
      <c r="FD221" s="72"/>
      <c r="FE221" s="72"/>
      <c r="FF221" s="72"/>
      <c r="FG221" s="72"/>
      <c r="FH221" s="72"/>
      <c r="FI221" s="72"/>
      <c r="FJ221" s="72"/>
      <c r="FK221" s="72"/>
      <c r="FL221" s="72"/>
      <c r="FM221" s="72"/>
      <c r="FN221" s="72"/>
      <c r="FO221" s="72"/>
      <c r="FP221" s="72"/>
      <c r="FQ221" s="72"/>
      <c r="FR221" s="72"/>
      <c r="FS221" s="72"/>
      <c r="FT221" s="72"/>
      <c r="FU221" s="72"/>
      <c r="FV221" s="72"/>
    </row>
    <row r="222" spans="2:178" s="1" customFormat="1" ht="15.75">
      <c r="B222" s="41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c r="CI222" s="72"/>
      <c r="CJ222" s="72"/>
      <c r="CK222" s="72"/>
      <c r="CL222" s="72"/>
      <c r="CM222" s="72"/>
      <c r="CN222" s="72"/>
      <c r="CO222" s="72"/>
      <c r="CP222" s="72"/>
      <c r="CQ222" s="72"/>
      <c r="CR222" s="72"/>
      <c r="CS222" s="72"/>
      <c r="CT222" s="72"/>
      <c r="CU222" s="72"/>
      <c r="CV222" s="72"/>
      <c r="CW222" s="72"/>
      <c r="CX222" s="72"/>
      <c r="CY222" s="72"/>
      <c r="CZ222" s="72"/>
      <c r="DA222" s="72"/>
      <c r="DB222" s="72"/>
      <c r="DC222" s="72"/>
      <c r="DD222" s="72"/>
      <c r="DE222" s="72"/>
      <c r="DF222" s="72"/>
      <c r="DG222" s="72"/>
      <c r="DH222" s="72"/>
      <c r="DI222" s="72"/>
      <c r="DJ222" s="72"/>
      <c r="DK222" s="72"/>
      <c r="DL222" s="72"/>
      <c r="DM222" s="72"/>
      <c r="DN222" s="72"/>
      <c r="DO222" s="72"/>
      <c r="DP222" s="72"/>
      <c r="DQ222" s="72"/>
      <c r="DR222" s="72"/>
      <c r="DS222" s="72"/>
      <c r="DT222" s="72"/>
      <c r="DU222" s="72"/>
      <c r="DV222" s="72"/>
      <c r="DW222" s="72"/>
      <c r="DX222" s="72"/>
      <c r="DY222" s="72"/>
      <c r="DZ222" s="72"/>
      <c r="EA222" s="72"/>
      <c r="EB222" s="72"/>
      <c r="EC222" s="72"/>
      <c r="ED222" s="72"/>
      <c r="EE222" s="72"/>
      <c r="EF222" s="72"/>
      <c r="EG222" s="72"/>
      <c r="EH222" s="72"/>
      <c r="EI222" s="72"/>
      <c r="EJ222" s="72"/>
      <c r="EK222" s="72"/>
      <c r="EL222" s="72"/>
      <c r="EM222" s="72"/>
      <c r="EN222" s="72"/>
      <c r="EO222" s="72"/>
      <c r="EP222" s="72"/>
      <c r="EQ222" s="72"/>
      <c r="ER222" s="72"/>
      <c r="ES222" s="72"/>
      <c r="ET222" s="72"/>
      <c r="EU222" s="72"/>
      <c r="EV222" s="72"/>
      <c r="EW222" s="72"/>
      <c r="EX222" s="72"/>
      <c r="EY222" s="72"/>
      <c r="EZ222" s="72"/>
      <c r="FA222" s="72"/>
      <c r="FB222" s="72"/>
      <c r="FC222" s="72"/>
      <c r="FD222" s="72"/>
      <c r="FE222" s="72"/>
      <c r="FF222" s="72"/>
      <c r="FG222" s="72"/>
      <c r="FH222" s="72"/>
      <c r="FI222" s="72"/>
      <c r="FJ222" s="72"/>
      <c r="FK222" s="72"/>
      <c r="FL222" s="72"/>
      <c r="FM222" s="72"/>
      <c r="FN222" s="72"/>
      <c r="FO222" s="72"/>
      <c r="FP222" s="72"/>
      <c r="FQ222" s="72"/>
      <c r="FR222" s="72"/>
      <c r="FS222" s="72"/>
      <c r="FT222" s="72"/>
      <c r="FU222" s="72"/>
      <c r="FV222" s="72"/>
    </row>
    <row r="223" spans="2:178" s="1" customFormat="1" ht="15.75">
      <c r="B223" s="41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c r="CR223" s="72"/>
      <c r="CS223" s="72"/>
      <c r="CT223" s="72"/>
      <c r="CU223" s="72"/>
      <c r="CV223" s="72"/>
      <c r="CW223" s="72"/>
      <c r="CX223" s="72"/>
      <c r="CY223" s="72"/>
      <c r="CZ223" s="72"/>
      <c r="DA223" s="72"/>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c r="EN223" s="72"/>
      <c r="EO223" s="72"/>
      <c r="EP223" s="72"/>
      <c r="EQ223" s="72"/>
      <c r="ER223" s="72"/>
      <c r="ES223" s="72"/>
      <c r="ET223" s="72"/>
      <c r="EU223" s="72"/>
      <c r="EV223" s="72"/>
      <c r="EW223" s="72"/>
      <c r="EX223" s="72"/>
      <c r="EY223" s="72"/>
      <c r="EZ223" s="72"/>
      <c r="FA223" s="72"/>
      <c r="FB223" s="72"/>
      <c r="FC223" s="72"/>
      <c r="FD223" s="72"/>
      <c r="FE223" s="72"/>
      <c r="FF223" s="72"/>
      <c r="FG223" s="72"/>
      <c r="FH223" s="72"/>
      <c r="FI223" s="72"/>
      <c r="FJ223" s="72"/>
      <c r="FK223" s="72"/>
      <c r="FL223" s="72"/>
      <c r="FM223" s="72"/>
      <c r="FN223" s="72"/>
      <c r="FO223" s="72"/>
      <c r="FP223" s="72"/>
      <c r="FQ223" s="72"/>
      <c r="FR223" s="72"/>
      <c r="FS223" s="72"/>
      <c r="FT223" s="72"/>
      <c r="FU223" s="72"/>
      <c r="FV223" s="72"/>
    </row>
    <row r="224" spans="2:178" s="1" customFormat="1" ht="15.75">
      <c r="B224" s="41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c r="CI224" s="72"/>
      <c r="CJ224" s="72"/>
      <c r="CK224" s="72"/>
      <c r="CL224" s="72"/>
      <c r="CM224" s="72"/>
      <c r="CN224" s="72"/>
      <c r="CO224" s="72"/>
      <c r="CP224" s="72"/>
      <c r="CQ224" s="72"/>
      <c r="CR224" s="72"/>
      <c r="CS224" s="72"/>
      <c r="CT224" s="72"/>
      <c r="CU224" s="72"/>
      <c r="CV224" s="72"/>
      <c r="CW224" s="72"/>
      <c r="CX224" s="72"/>
      <c r="CY224" s="72"/>
      <c r="CZ224" s="72"/>
      <c r="DA224" s="72"/>
      <c r="DB224" s="72"/>
      <c r="DC224" s="72"/>
      <c r="DD224" s="72"/>
      <c r="DE224" s="72"/>
      <c r="DF224" s="72"/>
      <c r="DG224" s="72"/>
      <c r="DH224" s="72"/>
      <c r="DI224" s="72"/>
      <c r="DJ224" s="72"/>
      <c r="DK224" s="72"/>
      <c r="DL224" s="72"/>
      <c r="DM224" s="72"/>
      <c r="DN224" s="72"/>
      <c r="DO224" s="72"/>
      <c r="DP224" s="72"/>
      <c r="DQ224" s="72"/>
      <c r="DR224" s="72"/>
      <c r="DS224" s="72"/>
      <c r="DT224" s="72"/>
      <c r="DU224" s="72"/>
      <c r="DV224" s="72"/>
      <c r="DW224" s="72"/>
      <c r="DX224" s="72"/>
      <c r="DY224" s="72"/>
      <c r="DZ224" s="72"/>
      <c r="EA224" s="72"/>
      <c r="EB224" s="72"/>
      <c r="EC224" s="72"/>
      <c r="ED224" s="72"/>
      <c r="EE224" s="72"/>
      <c r="EF224" s="72"/>
      <c r="EG224" s="72"/>
      <c r="EH224" s="72"/>
      <c r="EI224" s="72"/>
      <c r="EJ224" s="72"/>
      <c r="EK224" s="72"/>
      <c r="EL224" s="72"/>
      <c r="EM224" s="72"/>
      <c r="EN224" s="72"/>
      <c r="EO224" s="72"/>
      <c r="EP224" s="72"/>
      <c r="EQ224" s="72"/>
      <c r="ER224" s="72"/>
      <c r="ES224" s="72"/>
      <c r="ET224" s="72"/>
      <c r="EU224" s="72"/>
      <c r="EV224" s="72"/>
      <c r="EW224" s="72"/>
      <c r="EX224" s="72"/>
      <c r="EY224" s="72"/>
      <c r="EZ224" s="72"/>
      <c r="FA224" s="72"/>
      <c r="FB224" s="72"/>
      <c r="FC224" s="72"/>
      <c r="FD224" s="72"/>
      <c r="FE224" s="72"/>
      <c r="FF224" s="72"/>
      <c r="FG224" s="72"/>
      <c r="FH224" s="72"/>
      <c r="FI224" s="72"/>
      <c r="FJ224" s="72"/>
      <c r="FK224" s="72"/>
      <c r="FL224" s="72"/>
      <c r="FM224" s="72"/>
      <c r="FN224" s="72"/>
      <c r="FO224" s="72"/>
      <c r="FP224" s="72"/>
      <c r="FQ224" s="72"/>
      <c r="FR224" s="72"/>
      <c r="FS224" s="72"/>
      <c r="FT224" s="72"/>
      <c r="FU224" s="72"/>
      <c r="FV224" s="72"/>
    </row>
    <row r="225" spans="2:178" s="1" customFormat="1" ht="15.75">
      <c r="B225" s="41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c r="CR225" s="72"/>
      <c r="CS225" s="72"/>
      <c r="CT225" s="72"/>
      <c r="CU225" s="72"/>
      <c r="CV225" s="72"/>
      <c r="CW225" s="72"/>
      <c r="CX225" s="72"/>
      <c r="CY225" s="72"/>
      <c r="CZ225" s="72"/>
      <c r="DA225" s="72"/>
      <c r="DB225" s="72"/>
      <c r="DC225" s="72"/>
      <c r="DD225" s="72"/>
      <c r="DE225" s="72"/>
      <c r="DF225" s="72"/>
      <c r="DG225" s="72"/>
      <c r="DH225" s="72"/>
      <c r="DI225" s="72"/>
      <c r="DJ225" s="72"/>
      <c r="DK225" s="72"/>
      <c r="DL225" s="72"/>
      <c r="DM225" s="72"/>
      <c r="DN225" s="72"/>
      <c r="DO225" s="72"/>
      <c r="DP225" s="72"/>
      <c r="DQ225" s="72"/>
      <c r="DR225" s="72"/>
      <c r="DS225" s="72"/>
      <c r="DT225" s="72"/>
      <c r="DU225" s="72"/>
      <c r="DV225" s="72"/>
      <c r="DW225" s="72"/>
      <c r="DX225" s="72"/>
      <c r="DY225" s="72"/>
      <c r="DZ225" s="72"/>
      <c r="EA225" s="72"/>
      <c r="EB225" s="72"/>
      <c r="EC225" s="72"/>
      <c r="ED225" s="72"/>
      <c r="EE225" s="72"/>
      <c r="EF225" s="72"/>
      <c r="EG225" s="72"/>
      <c r="EH225" s="72"/>
      <c r="EI225" s="72"/>
      <c r="EJ225" s="72"/>
      <c r="EK225" s="72"/>
      <c r="EL225" s="72"/>
      <c r="EM225" s="72"/>
      <c r="EN225" s="72"/>
      <c r="EO225" s="72"/>
      <c r="EP225" s="72"/>
      <c r="EQ225" s="72"/>
      <c r="ER225" s="72"/>
      <c r="ES225" s="72"/>
      <c r="ET225" s="72"/>
      <c r="EU225" s="72"/>
      <c r="EV225" s="72"/>
      <c r="EW225" s="72"/>
      <c r="EX225" s="72"/>
      <c r="EY225" s="72"/>
      <c r="EZ225" s="72"/>
      <c r="FA225" s="72"/>
      <c r="FB225" s="72"/>
      <c r="FC225" s="72"/>
      <c r="FD225" s="72"/>
      <c r="FE225" s="72"/>
      <c r="FF225" s="72"/>
      <c r="FG225" s="72"/>
      <c r="FH225" s="72"/>
      <c r="FI225" s="72"/>
      <c r="FJ225" s="72"/>
      <c r="FK225" s="72"/>
      <c r="FL225" s="72"/>
      <c r="FM225" s="72"/>
      <c r="FN225" s="72"/>
      <c r="FO225" s="72"/>
      <c r="FP225" s="72"/>
      <c r="FQ225" s="72"/>
      <c r="FR225" s="72"/>
      <c r="FS225" s="72"/>
      <c r="FT225" s="72"/>
      <c r="FU225" s="72"/>
      <c r="FV225" s="72"/>
    </row>
    <row r="226" spans="2:178" s="1" customFormat="1" ht="15.75">
      <c r="B226" s="41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72"/>
      <c r="DZ226" s="72"/>
      <c r="EA226" s="72"/>
      <c r="EB226" s="72"/>
      <c r="EC226" s="72"/>
      <c r="ED226" s="72"/>
      <c r="EE226" s="72"/>
      <c r="EF226" s="72"/>
      <c r="EG226" s="72"/>
      <c r="EH226" s="72"/>
      <c r="EI226" s="72"/>
      <c r="EJ226" s="72"/>
      <c r="EK226" s="72"/>
      <c r="EL226" s="72"/>
      <c r="EM226" s="72"/>
      <c r="EN226" s="72"/>
      <c r="EO226" s="72"/>
      <c r="EP226" s="72"/>
      <c r="EQ226" s="72"/>
      <c r="ER226" s="72"/>
      <c r="ES226" s="72"/>
      <c r="ET226" s="72"/>
      <c r="EU226" s="72"/>
      <c r="EV226" s="72"/>
      <c r="EW226" s="72"/>
      <c r="EX226" s="72"/>
      <c r="EY226" s="72"/>
      <c r="EZ226" s="72"/>
      <c r="FA226" s="72"/>
      <c r="FB226" s="72"/>
      <c r="FC226" s="72"/>
      <c r="FD226" s="72"/>
      <c r="FE226" s="72"/>
      <c r="FF226" s="72"/>
      <c r="FG226" s="72"/>
      <c r="FH226" s="72"/>
      <c r="FI226" s="72"/>
      <c r="FJ226" s="72"/>
      <c r="FK226" s="72"/>
      <c r="FL226" s="72"/>
      <c r="FM226" s="72"/>
      <c r="FN226" s="72"/>
      <c r="FO226" s="72"/>
      <c r="FP226" s="72"/>
      <c r="FQ226" s="72"/>
      <c r="FR226" s="72"/>
      <c r="FS226" s="72"/>
      <c r="FT226" s="72"/>
      <c r="FU226" s="72"/>
      <c r="FV226" s="72"/>
    </row>
    <row r="227" spans="2:178" s="1" customFormat="1" ht="15.75">
      <c r="B227" s="41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c r="CI227" s="72"/>
      <c r="CJ227" s="72"/>
      <c r="CK227" s="72"/>
      <c r="CL227" s="72"/>
      <c r="CM227" s="72"/>
      <c r="CN227" s="72"/>
      <c r="CO227" s="72"/>
      <c r="CP227" s="72"/>
      <c r="CQ227" s="72"/>
      <c r="CR227" s="72"/>
      <c r="CS227" s="72"/>
      <c r="CT227" s="72"/>
      <c r="CU227" s="72"/>
      <c r="CV227" s="72"/>
      <c r="CW227" s="72"/>
      <c r="CX227" s="72"/>
      <c r="CY227" s="72"/>
      <c r="CZ227" s="72"/>
      <c r="DA227" s="72"/>
      <c r="DB227" s="72"/>
      <c r="DC227" s="72"/>
      <c r="DD227" s="72"/>
      <c r="DE227" s="72"/>
      <c r="DF227" s="72"/>
      <c r="DG227" s="72"/>
      <c r="DH227" s="72"/>
      <c r="DI227" s="72"/>
      <c r="DJ227" s="72"/>
      <c r="DK227" s="72"/>
      <c r="DL227" s="72"/>
      <c r="DM227" s="72"/>
      <c r="DN227" s="72"/>
      <c r="DO227" s="72"/>
      <c r="DP227" s="72"/>
      <c r="DQ227" s="72"/>
      <c r="DR227" s="72"/>
      <c r="DS227" s="72"/>
      <c r="DT227" s="72"/>
      <c r="DU227" s="72"/>
      <c r="DV227" s="72"/>
      <c r="DW227" s="72"/>
      <c r="DX227" s="72"/>
      <c r="DY227" s="72"/>
      <c r="DZ227" s="72"/>
      <c r="EA227" s="72"/>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72"/>
      <c r="FD227" s="72"/>
      <c r="FE227" s="72"/>
      <c r="FF227" s="72"/>
      <c r="FG227" s="72"/>
      <c r="FH227" s="72"/>
      <c r="FI227" s="72"/>
      <c r="FJ227" s="72"/>
      <c r="FK227" s="72"/>
      <c r="FL227" s="72"/>
      <c r="FM227" s="72"/>
      <c r="FN227" s="72"/>
      <c r="FO227" s="72"/>
      <c r="FP227" s="72"/>
      <c r="FQ227" s="72"/>
      <c r="FR227" s="72"/>
      <c r="FS227" s="72"/>
      <c r="FT227" s="72"/>
      <c r="FU227" s="72"/>
      <c r="FV227" s="72"/>
    </row>
    <row r="228" spans="2:178" s="1" customFormat="1" ht="15.75">
      <c r="B228" s="41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c r="CI228" s="72"/>
      <c r="CJ228" s="72"/>
      <c r="CK228" s="72"/>
      <c r="CL228" s="72"/>
      <c r="CM228" s="72"/>
      <c r="CN228" s="72"/>
      <c r="CO228" s="72"/>
      <c r="CP228" s="72"/>
      <c r="CQ228" s="72"/>
      <c r="CR228" s="72"/>
      <c r="CS228" s="72"/>
      <c r="CT228" s="72"/>
      <c r="CU228" s="72"/>
      <c r="CV228" s="72"/>
      <c r="CW228" s="72"/>
      <c r="CX228" s="72"/>
      <c r="CY228" s="72"/>
      <c r="CZ228" s="72"/>
      <c r="DA228" s="72"/>
      <c r="DB228" s="72"/>
      <c r="DC228" s="72"/>
      <c r="DD228" s="72"/>
      <c r="DE228" s="72"/>
      <c r="DF228" s="72"/>
      <c r="DG228" s="72"/>
      <c r="DH228" s="72"/>
      <c r="DI228" s="72"/>
      <c r="DJ228" s="72"/>
      <c r="DK228" s="72"/>
      <c r="DL228" s="72"/>
      <c r="DM228" s="72"/>
      <c r="DN228" s="72"/>
      <c r="DO228" s="72"/>
      <c r="DP228" s="72"/>
      <c r="DQ228" s="72"/>
      <c r="DR228" s="72"/>
      <c r="DS228" s="72"/>
      <c r="DT228" s="72"/>
      <c r="DU228" s="72"/>
      <c r="DV228" s="72"/>
      <c r="DW228" s="72"/>
      <c r="DX228" s="72"/>
      <c r="DY228" s="72"/>
      <c r="DZ228" s="72"/>
      <c r="EA228" s="72"/>
      <c r="EB228" s="72"/>
      <c r="EC228" s="72"/>
      <c r="ED228" s="72"/>
      <c r="EE228" s="72"/>
      <c r="EF228" s="72"/>
      <c r="EG228" s="72"/>
      <c r="EH228" s="72"/>
      <c r="EI228" s="72"/>
      <c r="EJ228" s="72"/>
      <c r="EK228" s="72"/>
      <c r="EL228" s="72"/>
      <c r="EM228" s="72"/>
      <c r="EN228" s="72"/>
      <c r="EO228" s="72"/>
      <c r="EP228" s="72"/>
      <c r="EQ228" s="72"/>
      <c r="ER228" s="72"/>
      <c r="ES228" s="72"/>
      <c r="ET228" s="72"/>
      <c r="EU228" s="72"/>
      <c r="EV228" s="72"/>
      <c r="EW228" s="72"/>
      <c r="EX228" s="72"/>
      <c r="EY228" s="72"/>
      <c r="EZ228" s="72"/>
      <c r="FA228" s="72"/>
      <c r="FB228" s="72"/>
      <c r="FC228" s="72"/>
      <c r="FD228" s="72"/>
      <c r="FE228" s="72"/>
      <c r="FF228" s="72"/>
      <c r="FG228" s="72"/>
      <c r="FH228" s="72"/>
      <c r="FI228" s="72"/>
      <c r="FJ228" s="72"/>
      <c r="FK228" s="72"/>
      <c r="FL228" s="72"/>
      <c r="FM228" s="72"/>
      <c r="FN228" s="72"/>
      <c r="FO228" s="72"/>
      <c r="FP228" s="72"/>
      <c r="FQ228" s="72"/>
      <c r="FR228" s="72"/>
      <c r="FS228" s="72"/>
      <c r="FT228" s="72"/>
      <c r="FU228" s="72"/>
      <c r="FV228" s="72"/>
    </row>
    <row r="229" spans="2:178" s="1" customFormat="1" ht="15.75">
      <c r="B229" s="41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c r="CX229" s="72"/>
      <c r="CY229" s="72"/>
      <c r="CZ229" s="72"/>
      <c r="DA229" s="72"/>
      <c r="DB229" s="72"/>
      <c r="DC229" s="72"/>
      <c r="DD229" s="72"/>
      <c r="DE229" s="72"/>
      <c r="DF229" s="72"/>
      <c r="DG229" s="72"/>
      <c r="DH229" s="72"/>
      <c r="DI229" s="72"/>
      <c r="DJ229" s="72"/>
      <c r="DK229" s="72"/>
      <c r="DL229" s="72"/>
      <c r="DM229" s="72"/>
      <c r="DN229" s="72"/>
      <c r="DO229" s="72"/>
      <c r="DP229" s="72"/>
      <c r="DQ229" s="72"/>
      <c r="DR229" s="72"/>
      <c r="DS229" s="72"/>
      <c r="DT229" s="72"/>
      <c r="DU229" s="72"/>
      <c r="DV229" s="72"/>
      <c r="DW229" s="72"/>
      <c r="DX229" s="72"/>
      <c r="DY229" s="72"/>
      <c r="DZ229" s="72"/>
      <c r="EA229" s="72"/>
      <c r="EB229" s="72"/>
      <c r="EC229" s="72"/>
      <c r="ED229" s="72"/>
      <c r="EE229" s="72"/>
      <c r="EF229" s="72"/>
      <c r="EG229" s="72"/>
      <c r="EH229" s="72"/>
      <c r="EI229" s="72"/>
      <c r="EJ229" s="72"/>
      <c r="EK229" s="72"/>
      <c r="EL229" s="72"/>
      <c r="EM229" s="72"/>
      <c r="EN229" s="72"/>
      <c r="EO229" s="72"/>
      <c r="EP229" s="72"/>
      <c r="EQ229" s="72"/>
      <c r="ER229" s="72"/>
      <c r="ES229" s="72"/>
      <c r="ET229" s="72"/>
      <c r="EU229" s="72"/>
      <c r="EV229" s="72"/>
      <c r="EW229" s="72"/>
      <c r="EX229" s="72"/>
      <c r="EY229" s="72"/>
      <c r="EZ229" s="72"/>
      <c r="FA229" s="72"/>
      <c r="FB229" s="72"/>
      <c r="FC229" s="72"/>
      <c r="FD229" s="72"/>
      <c r="FE229" s="72"/>
      <c r="FF229" s="72"/>
      <c r="FG229" s="72"/>
      <c r="FH229" s="72"/>
      <c r="FI229" s="72"/>
      <c r="FJ229" s="72"/>
      <c r="FK229" s="72"/>
      <c r="FL229" s="72"/>
      <c r="FM229" s="72"/>
      <c r="FN229" s="72"/>
      <c r="FO229" s="72"/>
      <c r="FP229" s="72"/>
      <c r="FQ229" s="72"/>
      <c r="FR229" s="72"/>
      <c r="FS229" s="72"/>
      <c r="FT229" s="72"/>
      <c r="FU229" s="72"/>
      <c r="FV229" s="72"/>
    </row>
    <row r="230" spans="2:178" s="1" customFormat="1" ht="15.75">
      <c r="B230" s="41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c r="CR230" s="72"/>
      <c r="CS230" s="72"/>
      <c r="CT230" s="72"/>
      <c r="CU230" s="72"/>
      <c r="CV230" s="72"/>
      <c r="CW230" s="72"/>
      <c r="CX230" s="72"/>
      <c r="CY230" s="72"/>
      <c r="CZ230" s="72"/>
      <c r="DA230" s="72"/>
      <c r="DB230" s="72"/>
      <c r="DC230" s="72"/>
      <c r="DD230" s="72"/>
      <c r="DE230" s="72"/>
      <c r="DF230" s="72"/>
      <c r="DG230" s="72"/>
      <c r="DH230" s="72"/>
      <c r="DI230" s="72"/>
      <c r="DJ230" s="72"/>
      <c r="DK230" s="72"/>
      <c r="DL230" s="72"/>
      <c r="DM230" s="72"/>
      <c r="DN230" s="72"/>
      <c r="DO230" s="72"/>
      <c r="DP230" s="72"/>
      <c r="DQ230" s="72"/>
      <c r="DR230" s="72"/>
      <c r="DS230" s="72"/>
      <c r="DT230" s="72"/>
      <c r="DU230" s="72"/>
      <c r="DV230" s="72"/>
      <c r="DW230" s="72"/>
      <c r="DX230" s="72"/>
      <c r="DY230" s="72"/>
      <c r="DZ230" s="72"/>
      <c r="EA230" s="72"/>
      <c r="EB230" s="72"/>
      <c r="EC230" s="72"/>
      <c r="ED230" s="72"/>
      <c r="EE230" s="72"/>
      <c r="EF230" s="72"/>
      <c r="EG230" s="72"/>
      <c r="EH230" s="72"/>
      <c r="EI230" s="72"/>
      <c r="EJ230" s="72"/>
      <c r="EK230" s="72"/>
      <c r="EL230" s="72"/>
      <c r="EM230" s="72"/>
      <c r="EN230" s="72"/>
      <c r="EO230" s="72"/>
      <c r="EP230" s="72"/>
      <c r="EQ230" s="72"/>
      <c r="ER230" s="72"/>
      <c r="ES230" s="72"/>
      <c r="ET230" s="72"/>
      <c r="EU230" s="72"/>
      <c r="EV230" s="72"/>
      <c r="EW230" s="72"/>
      <c r="EX230" s="72"/>
      <c r="EY230" s="72"/>
      <c r="EZ230" s="72"/>
      <c r="FA230" s="72"/>
      <c r="FB230" s="72"/>
      <c r="FC230" s="72"/>
      <c r="FD230" s="72"/>
      <c r="FE230" s="72"/>
      <c r="FF230" s="72"/>
      <c r="FG230" s="72"/>
      <c r="FH230" s="72"/>
      <c r="FI230" s="72"/>
      <c r="FJ230" s="72"/>
      <c r="FK230" s="72"/>
      <c r="FL230" s="72"/>
      <c r="FM230" s="72"/>
      <c r="FN230" s="72"/>
      <c r="FO230" s="72"/>
      <c r="FP230" s="72"/>
      <c r="FQ230" s="72"/>
      <c r="FR230" s="72"/>
      <c r="FS230" s="72"/>
      <c r="FT230" s="72"/>
      <c r="FU230" s="72"/>
      <c r="FV230" s="72"/>
    </row>
    <row r="231" spans="2:178" s="1" customFormat="1" ht="15.75">
      <c r="B231" s="41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c r="CR231" s="72"/>
      <c r="CS231" s="72"/>
      <c r="CT231" s="72"/>
      <c r="CU231" s="72"/>
      <c r="CV231" s="72"/>
      <c r="CW231" s="72"/>
      <c r="CX231" s="72"/>
      <c r="CY231" s="72"/>
      <c r="CZ231" s="72"/>
      <c r="DA231" s="72"/>
      <c r="DB231" s="72"/>
      <c r="DC231" s="72"/>
      <c r="DD231" s="72"/>
      <c r="DE231" s="72"/>
      <c r="DF231" s="72"/>
      <c r="DG231" s="72"/>
      <c r="DH231" s="72"/>
      <c r="DI231" s="72"/>
      <c r="DJ231" s="72"/>
      <c r="DK231" s="72"/>
      <c r="DL231" s="72"/>
      <c r="DM231" s="72"/>
      <c r="DN231" s="72"/>
      <c r="DO231" s="72"/>
      <c r="DP231" s="72"/>
      <c r="DQ231" s="72"/>
      <c r="DR231" s="72"/>
      <c r="DS231" s="72"/>
      <c r="DT231" s="72"/>
      <c r="DU231" s="72"/>
      <c r="DV231" s="72"/>
      <c r="DW231" s="72"/>
      <c r="DX231" s="72"/>
      <c r="DY231" s="72"/>
      <c r="DZ231" s="72"/>
      <c r="EA231" s="72"/>
      <c r="EB231" s="72"/>
      <c r="EC231" s="72"/>
      <c r="ED231" s="72"/>
      <c r="EE231" s="72"/>
      <c r="EF231" s="72"/>
      <c r="EG231" s="72"/>
      <c r="EH231" s="72"/>
      <c r="EI231" s="72"/>
      <c r="EJ231" s="72"/>
      <c r="EK231" s="72"/>
      <c r="EL231" s="72"/>
      <c r="EM231" s="72"/>
      <c r="EN231" s="72"/>
      <c r="EO231" s="72"/>
      <c r="EP231" s="72"/>
      <c r="EQ231" s="72"/>
      <c r="ER231" s="72"/>
      <c r="ES231" s="72"/>
      <c r="ET231" s="72"/>
      <c r="EU231" s="72"/>
      <c r="EV231" s="72"/>
      <c r="EW231" s="72"/>
      <c r="EX231" s="72"/>
      <c r="EY231" s="72"/>
      <c r="EZ231" s="72"/>
      <c r="FA231" s="72"/>
      <c r="FB231" s="72"/>
      <c r="FC231" s="72"/>
      <c r="FD231" s="72"/>
      <c r="FE231" s="72"/>
      <c r="FF231" s="72"/>
      <c r="FG231" s="72"/>
      <c r="FH231" s="72"/>
      <c r="FI231" s="72"/>
      <c r="FJ231" s="72"/>
      <c r="FK231" s="72"/>
      <c r="FL231" s="72"/>
      <c r="FM231" s="72"/>
      <c r="FN231" s="72"/>
      <c r="FO231" s="72"/>
      <c r="FP231" s="72"/>
      <c r="FQ231" s="72"/>
      <c r="FR231" s="72"/>
      <c r="FS231" s="72"/>
      <c r="FT231" s="72"/>
      <c r="FU231" s="72"/>
      <c r="FV231" s="72"/>
    </row>
    <row r="232" spans="2:178" s="1" customFormat="1" ht="15.75">
      <c r="B232" s="41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c r="CR232" s="72"/>
      <c r="CS232" s="72"/>
      <c r="CT232" s="72"/>
      <c r="CU232" s="72"/>
      <c r="CV232" s="72"/>
      <c r="CW232" s="72"/>
      <c r="CX232" s="72"/>
      <c r="CY232" s="72"/>
      <c r="CZ232" s="72"/>
      <c r="DA232" s="72"/>
      <c r="DB232" s="72"/>
      <c r="DC232" s="72"/>
      <c r="DD232" s="72"/>
      <c r="DE232" s="72"/>
      <c r="DF232" s="72"/>
      <c r="DG232" s="72"/>
      <c r="DH232" s="72"/>
      <c r="DI232" s="72"/>
      <c r="DJ232" s="72"/>
      <c r="DK232" s="72"/>
      <c r="DL232" s="72"/>
      <c r="DM232" s="72"/>
      <c r="DN232" s="72"/>
      <c r="DO232" s="72"/>
      <c r="DP232" s="72"/>
      <c r="DQ232" s="72"/>
      <c r="DR232" s="72"/>
      <c r="DS232" s="72"/>
      <c r="DT232" s="72"/>
      <c r="DU232" s="72"/>
      <c r="DV232" s="72"/>
      <c r="DW232" s="72"/>
      <c r="DX232" s="72"/>
      <c r="DY232" s="72"/>
      <c r="DZ232" s="72"/>
      <c r="EA232" s="72"/>
      <c r="EB232" s="72"/>
      <c r="EC232" s="72"/>
      <c r="ED232" s="72"/>
      <c r="EE232" s="72"/>
      <c r="EF232" s="72"/>
      <c r="EG232" s="72"/>
      <c r="EH232" s="72"/>
      <c r="EI232" s="72"/>
      <c r="EJ232" s="72"/>
      <c r="EK232" s="72"/>
      <c r="EL232" s="72"/>
      <c r="EM232" s="72"/>
      <c r="EN232" s="72"/>
      <c r="EO232" s="72"/>
      <c r="EP232" s="72"/>
      <c r="EQ232" s="72"/>
      <c r="ER232" s="72"/>
      <c r="ES232" s="72"/>
      <c r="ET232" s="72"/>
      <c r="EU232" s="72"/>
      <c r="EV232" s="72"/>
      <c r="EW232" s="72"/>
      <c r="EX232" s="72"/>
      <c r="EY232" s="72"/>
      <c r="EZ232" s="72"/>
      <c r="FA232" s="72"/>
      <c r="FB232" s="72"/>
      <c r="FC232" s="72"/>
      <c r="FD232" s="72"/>
      <c r="FE232" s="72"/>
      <c r="FF232" s="72"/>
      <c r="FG232" s="72"/>
      <c r="FH232" s="72"/>
      <c r="FI232" s="72"/>
      <c r="FJ232" s="72"/>
      <c r="FK232" s="72"/>
      <c r="FL232" s="72"/>
      <c r="FM232" s="72"/>
      <c r="FN232" s="72"/>
      <c r="FO232" s="72"/>
      <c r="FP232" s="72"/>
      <c r="FQ232" s="72"/>
      <c r="FR232" s="72"/>
      <c r="FS232" s="72"/>
      <c r="FT232" s="72"/>
      <c r="FU232" s="72"/>
      <c r="FV232" s="72"/>
    </row>
    <row r="233" spans="2:178" s="1" customFormat="1" ht="15.75">
      <c r="B233" s="41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c r="CR233" s="72"/>
      <c r="CS233" s="72"/>
      <c r="CT233" s="72"/>
      <c r="CU233" s="72"/>
      <c r="CV233" s="72"/>
      <c r="CW233" s="72"/>
      <c r="CX233" s="72"/>
      <c r="CY233" s="72"/>
      <c r="CZ233" s="72"/>
      <c r="DA233" s="72"/>
      <c r="DB233" s="72"/>
      <c r="DC233" s="72"/>
      <c r="DD233" s="72"/>
      <c r="DE233" s="72"/>
      <c r="DF233" s="72"/>
      <c r="DG233" s="72"/>
      <c r="DH233" s="72"/>
      <c r="DI233" s="72"/>
      <c r="DJ233" s="72"/>
      <c r="DK233" s="72"/>
      <c r="DL233" s="72"/>
      <c r="DM233" s="72"/>
      <c r="DN233" s="72"/>
      <c r="DO233" s="72"/>
      <c r="DP233" s="72"/>
      <c r="DQ233" s="72"/>
      <c r="DR233" s="72"/>
      <c r="DS233" s="72"/>
      <c r="DT233" s="72"/>
      <c r="DU233" s="72"/>
      <c r="DV233" s="72"/>
      <c r="DW233" s="72"/>
      <c r="DX233" s="72"/>
      <c r="DY233" s="72"/>
      <c r="DZ233" s="72"/>
      <c r="EA233" s="72"/>
      <c r="EB233" s="72"/>
      <c r="EC233" s="72"/>
      <c r="ED233" s="72"/>
      <c r="EE233" s="72"/>
      <c r="EF233" s="72"/>
      <c r="EG233" s="72"/>
      <c r="EH233" s="72"/>
      <c r="EI233" s="72"/>
      <c r="EJ233" s="72"/>
      <c r="EK233" s="72"/>
      <c r="EL233" s="72"/>
      <c r="EM233" s="72"/>
      <c r="EN233" s="72"/>
      <c r="EO233" s="72"/>
      <c r="EP233" s="72"/>
      <c r="EQ233" s="72"/>
      <c r="ER233" s="72"/>
      <c r="ES233" s="72"/>
      <c r="ET233" s="72"/>
      <c r="EU233" s="72"/>
      <c r="EV233" s="72"/>
      <c r="EW233" s="72"/>
      <c r="EX233" s="72"/>
      <c r="EY233" s="72"/>
      <c r="EZ233" s="72"/>
      <c r="FA233" s="72"/>
      <c r="FB233" s="72"/>
      <c r="FC233" s="72"/>
      <c r="FD233" s="72"/>
      <c r="FE233" s="72"/>
      <c r="FF233" s="72"/>
      <c r="FG233" s="72"/>
      <c r="FH233" s="72"/>
      <c r="FI233" s="72"/>
      <c r="FJ233" s="72"/>
      <c r="FK233" s="72"/>
      <c r="FL233" s="72"/>
      <c r="FM233" s="72"/>
      <c r="FN233" s="72"/>
      <c r="FO233" s="72"/>
      <c r="FP233" s="72"/>
      <c r="FQ233" s="72"/>
      <c r="FR233" s="72"/>
      <c r="FS233" s="72"/>
      <c r="FT233" s="72"/>
      <c r="FU233" s="72"/>
      <c r="FV233" s="72"/>
    </row>
    <row r="234" spans="2:178" s="1" customFormat="1" ht="15.75">
      <c r="B234" s="41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c r="CX234" s="72"/>
      <c r="CY234" s="72"/>
      <c r="CZ234" s="72"/>
      <c r="DA234" s="72"/>
      <c r="DB234" s="72"/>
      <c r="DC234" s="72"/>
      <c r="DD234" s="72"/>
      <c r="DE234" s="72"/>
      <c r="DF234" s="72"/>
      <c r="DG234" s="72"/>
      <c r="DH234" s="72"/>
      <c r="DI234" s="72"/>
      <c r="DJ234" s="72"/>
      <c r="DK234" s="72"/>
      <c r="DL234" s="72"/>
      <c r="DM234" s="72"/>
      <c r="DN234" s="72"/>
      <c r="DO234" s="72"/>
      <c r="DP234" s="72"/>
      <c r="DQ234" s="72"/>
      <c r="DR234" s="72"/>
      <c r="DS234" s="72"/>
      <c r="DT234" s="72"/>
      <c r="DU234" s="72"/>
      <c r="DV234" s="72"/>
      <c r="DW234" s="72"/>
      <c r="DX234" s="72"/>
      <c r="DY234" s="72"/>
      <c r="DZ234" s="72"/>
      <c r="EA234" s="72"/>
      <c r="EB234" s="72"/>
      <c r="EC234" s="72"/>
      <c r="ED234" s="72"/>
      <c r="EE234" s="72"/>
      <c r="EF234" s="72"/>
      <c r="EG234" s="72"/>
      <c r="EH234" s="72"/>
      <c r="EI234" s="72"/>
      <c r="EJ234" s="72"/>
      <c r="EK234" s="72"/>
      <c r="EL234" s="72"/>
      <c r="EM234" s="72"/>
      <c r="EN234" s="72"/>
      <c r="EO234" s="72"/>
      <c r="EP234" s="72"/>
      <c r="EQ234" s="72"/>
      <c r="ER234" s="72"/>
      <c r="ES234" s="72"/>
      <c r="ET234" s="72"/>
      <c r="EU234" s="72"/>
      <c r="EV234" s="72"/>
      <c r="EW234" s="72"/>
      <c r="EX234" s="72"/>
      <c r="EY234" s="72"/>
      <c r="EZ234" s="72"/>
      <c r="FA234" s="72"/>
      <c r="FB234" s="72"/>
      <c r="FC234" s="72"/>
      <c r="FD234" s="72"/>
      <c r="FE234" s="72"/>
      <c r="FF234" s="72"/>
      <c r="FG234" s="72"/>
      <c r="FH234" s="72"/>
      <c r="FI234" s="72"/>
      <c r="FJ234" s="72"/>
      <c r="FK234" s="72"/>
      <c r="FL234" s="72"/>
      <c r="FM234" s="72"/>
      <c r="FN234" s="72"/>
      <c r="FO234" s="72"/>
      <c r="FP234" s="72"/>
      <c r="FQ234" s="72"/>
      <c r="FR234" s="72"/>
      <c r="FS234" s="72"/>
      <c r="FT234" s="72"/>
      <c r="FU234" s="72"/>
      <c r="FV234" s="72"/>
    </row>
    <row r="235" spans="2:178" s="1" customFormat="1" ht="15.75">
      <c r="B235" s="41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2"/>
      <c r="CY235" s="72"/>
      <c r="CZ235" s="72"/>
      <c r="DA235" s="72"/>
      <c r="DB235" s="72"/>
      <c r="DC235" s="72"/>
      <c r="DD235" s="72"/>
      <c r="DE235" s="72"/>
      <c r="DF235" s="72"/>
      <c r="DG235" s="72"/>
      <c r="DH235" s="72"/>
      <c r="DI235" s="72"/>
      <c r="DJ235" s="72"/>
      <c r="DK235" s="72"/>
      <c r="DL235" s="72"/>
      <c r="DM235" s="72"/>
      <c r="DN235" s="72"/>
      <c r="DO235" s="72"/>
      <c r="DP235" s="72"/>
      <c r="DQ235" s="72"/>
      <c r="DR235" s="72"/>
      <c r="DS235" s="72"/>
      <c r="DT235" s="72"/>
      <c r="DU235" s="72"/>
      <c r="DV235" s="72"/>
      <c r="DW235" s="72"/>
      <c r="DX235" s="72"/>
      <c r="DY235" s="72"/>
      <c r="DZ235" s="72"/>
      <c r="EA235" s="72"/>
      <c r="EB235" s="72"/>
      <c r="EC235" s="72"/>
      <c r="ED235" s="72"/>
      <c r="EE235" s="72"/>
      <c r="EF235" s="72"/>
      <c r="EG235" s="72"/>
      <c r="EH235" s="72"/>
      <c r="EI235" s="72"/>
      <c r="EJ235" s="72"/>
      <c r="EK235" s="72"/>
      <c r="EL235" s="72"/>
      <c r="EM235" s="72"/>
      <c r="EN235" s="72"/>
      <c r="EO235" s="72"/>
      <c r="EP235" s="72"/>
      <c r="EQ235" s="72"/>
      <c r="ER235" s="72"/>
      <c r="ES235" s="72"/>
      <c r="ET235" s="72"/>
      <c r="EU235" s="72"/>
      <c r="EV235" s="72"/>
      <c r="EW235" s="72"/>
      <c r="EX235" s="72"/>
      <c r="EY235" s="72"/>
      <c r="EZ235" s="72"/>
      <c r="FA235" s="72"/>
      <c r="FB235" s="72"/>
      <c r="FC235" s="72"/>
      <c r="FD235" s="72"/>
      <c r="FE235" s="72"/>
      <c r="FF235" s="72"/>
      <c r="FG235" s="72"/>
      <c r="FH235" s="72"/>
      <c r="FI235" s="72"/>
      <c r="FJ235" s="72"/>
      <c r="FK235" s="72"/>
      <c r="FL235" s="72"/>
      <c r="FM235" s="72"/>
      <c r="FN235" s="72"/>
      <c r="FO235" s="72"/>
      <c r="FP235" s="72"/>
      <c r="FQ235" s="72"/>
      <c r="FR235" s="72"/>
      <c r="FS235" s="72"/>
      <c r="FT235" s="72"/>
      <c r="FU235" s="72"/>
      <c r="FV235" s="72"/>
    </row>
    <row r="236" spans="2:178" s="1" customFormat="1" ht="15.75">
      <c r="B236" s="41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row>
    <row r="237" spans="2:178" s="1" customFormat="1" ht="15.75">
      <c r="B237" s="41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c r="CR237" s="72"/>
      <c r="CS237" s="72"/>
      <c r="CT237" s="72"/>
      <c r="CU237" s="72"/>
      <c r="CV237" s="72"/>
      <c r="CW237" s="72"/>
      <c r="CX237" s="72"/>
      <c r="CY237" s="72"/>
      <c r="CZ237" s="72"/>
      <c r="DA237" s="72"/>
      <c r="DB237" s="72"/>
      <c r="DC237" s="72"/>
      <c r="DD237" s="72"/>
      <c r="DE237" s="72"/>
      <c r="DF237" s="72"/>
      <c r="DG237" s="72"/>
      <c r="DH237" s="72"/>
      <c r="DI237" s="72"/>
      <c r="DJ237" s="72"/>
      <c r="DK237" s="72"/>
      <c r="DL237" s="72"/>
      <c r="DM237" s="72"/>
      <c r="DN237" s="72"/>
      <c r="DO237" s="72"/>
      <c r="DP237" s="72"/>
      <c r="DQ237" s="72"/>
      <c r="DR237" s="72"/>
      <c r="DS237" s="72"/>
      <c r="DT237" s="72"/>
      <c r="DU237" s="72"/>
      <c r="DV237" s="72"/>
      <c r="DW237" s="72"/>
      <c r="DX237" s="72"/>
      <c r="DY237" s="72"/>
      <c r="DZ237" s="72"/>
      <c r="EA237" s="72"/>
      <c r="EB237" s="72"/>
      <c r="EC237" s="72"/>
      <c r="ED237" s="72"/>
      <c r="EE237" s="72"/>
      <c r="EF237" s="72"/>
      <c r="EG237" s="72"/>
      <c r="EH237" s="72"/>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2"/>
      <c r="FU237" s="72"/>
      <c r="FV237" s="72"/>
    </row>
    <row r="238" spans="2:178" s="1" customFormat="1" ht="15.75">
      <c r="B238" s="41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c r="CX238" s="72"/>
      <c r="CY238" s="72"/>
      <c r="CZ238" s="72"/>
      <c r="DA238" s="72"/>
      <c r="DB238" s="72"/>
      <c r="DC238" s="72"/>
      <c r="DD238" s="72"/>
      <c r="DE238" s="72"/>
      <c r="DF238" s="72"/>
      <c r="DG238" s="72"/>
      <c r="DH238" s="72"/>
      <c r="DI238" s="72"/>
      <c r="DJ238" s="72"/>
      <c r="DK238" s="72"/>
      <c r="DL238" s="72"/>
      <c r="DM238" s="72"/>
      <c r="DN238" s="72"/>
      <c r="DO238" s="72"/>
      <c r="DP238" s="72"/>
      <c r="DQ238" s="72"/>
      <c r="DR238" s="72"/>
      <c r="DS238" s="72"/>
      <c r="DT238" s="72"/>
      <c r="DU238" s="72"/>
      <c r="DV238" s="72"/>
      <c r="DW238" s="72"/>
      <c r="DX238" s="72"/>
      <c r="DY238" s="72"/>
      <c r="DZ238" s="72"/>
      <c r="EA238" s="72"/>
      <c r="EB238" s="72"/>
      <c r="EC238" s="72"/>
      <c r="ED238" s="72"/>
      <c r="EE238" s="72"/>
      <c r="EF238" s="72"/>
      <c r="EG238" s="72"/>
      <c r="EH238" s="72"/>
      <c r="EI238" s="72"/>
      <c r="EJ238" s="72"/>
      <c r="EK238" s="72"/>
      <c r="EL238" s="72"/>
      <c r="EM238" s="72"/>
      <c r="EN238" s="72"/>
      <c r="EO238" s="72"/>
      <c r="EP238" s="72"/>
      <c r="EQ238" s="72"/>
      <c r="ER238" s="72"/>
      <c r="ES238" s="72"/>
      <c r="ET238" s="72"/>
      <c r="EU238" s="72"/>
      <c r="EV238" s="72"/>
      <c r="EW238" s="72"/>
      <c r="EX238" s="72"/>
      <c r="EY238" s="72"/>
      <c r="EZ238" s="72"/>
      <c r="FA238" s="72"/>
      <c r="FB238" s="72"/>
      <c r="FC238" s="72"/>
      <c r="FD238" s="72"/>
      <c r="FE238" s="72"/>
      <c r="FF238" s="72"/>
      <c r="FG238" s="72"/>
      <c r="FH238" s="72"/>
      <c r="FI238" s="72"/>
      <c r="FJ238" s="72"/>
      <c r="FK238" s="72"/>
      <c r="FL238" s="72"/>
      <c r="FM238" s="72"/>
      <c r="FN238" s="72"/>
      <c r="FO238" s="72"/>
      <c r="FP238" s="72"/>
      <c r="FQ238" s="72"/>
      <c r="FR238" s="72"/>
      <c r="FS238" s="72"/>
      <c r="FT238" s="72"/>
      <c r="FU238" s="72"/>
      <c r="FV238" s="72"/>
    </row>
    <row r="239" spans="2:178" s="1" customFormat="1" ht="15.75">
      <c r="B239" s="41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c r="CX239" s="72"/>
      <c r="CY239" s="72"/>
      <c r="CZ239" s="72"/>
      <c r="DA239" s="72"/>
      <c r="DB239" s="72"/>
      <c r="DC239" s="72"/>
      <c r="DD239" s="72"/>
      <c r="DE239" s="72"/>
      <c r="DF239" s="72"/>
      <c r="DG239" s="72"/>
      <c r="DH239" s="72"/>
      <c r="DI239" s="72"/>
      <c r="DJ239" s="72"/>
      <c r="DK239" s="72"/>
      <c r="DL239" s="72"/>
      <c r="DM239" s="72"/>
      <c r="DN239" s="72"/>
      <c r="DO239" s="72"/>
      <c r="DP239" s="72"/>
      <c r="DQ239" s="72"/>
      <c r="DR239" s="72"/>
      <c r="DS239" s="72"/>
      <c r="DT239" s="72"/>
      <c r="DU239" s="72"/>
      <c r="DV239" s="72"/>
      <c r="DW239" s="72"/>
      <c r="DX239" s="72"/>
      <c r="DY239" s="72"/>
      <c r="DZ239" s="72"/>
      <c r="EA239" s="72"/>
      <c r="EB239" s="72"/>
      <c r="EC239" s="72"/>
      <c r="ED239" s="72"/>
      <c r="EE239" s="72"/>
      <c r="EF239" s="72"/>
      <c r="EG239" s="72"/>
      <c r="EH239" s="72"/>
      <c r="EI239" s="72"/>
      <c r="EJ239" s="72"/>
      <c r="EK239" s="72"/>
      <c r="EL239" s="72"/>
      <c r="EM239" s="72"/>
      <c r="EN239" s="72"/>
      <c r="EO239" s="72"/>
      <c r="EP239" s="72"/>
      <c r="EQ239" s="72"/>
      <c r="ER239" s="72"/>
      <c r="ES239" s="72"/>
      <c r="ET239" s="72"/>
      <c r="EU239" s="72"/>
      <c r="EV239" s="72"/>
      <c r="EW239" s="72"/>
      <c r="EX239" s="72"/>
      <c r="EY239" s="72"/>
      <c r="EZ239" s="72"/>
      <c r="FA239" s="72"/>
      <c r="FB239" s="72"/>
      <c r="FC239" s="72"/>
      <c r="FD239" s="72"/>
      <c r="FE239" s="72"/>
      <c r="FF239" s="72"/>
      <c r="FG239" s="72"/>
      <c r="FH239" s="72"/>
      <c r="FI239" s="72"/>
      <c r="FJ239" s="72"/>
      <c r="FK239" s="72"/>
      <c r="FL239" s="72"/>
      <c r="FM239" s="72"/>
      <c r="FN239" s="72"/>
      <c r="FO239" s="72"/>
      <c r="FP239" s="72"/>
      <c r="FQ239" s="72"/>
      <c r="FR239" s="72"/>
      <c r="FS239" s="72"/>
      <c r="FT239" s="72"/>
      <c r="FU239" s="72"/>
      <c r="FV239" s="72"/>
    </row>
    <row r="240" spans="2:178" s="1" customFormat="1" ht="15.75">
      <c r="B240" s="41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row>
    <row r="241" spans="2:178" s="1" customFormat="1" ht="15.75">
      <c r="B241" s="41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row>
    <row r="242" spans="2:178" s="1" customFormat="1" ht="15.75">
      <c r="B242" s="41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row>
    <row r="243" spans="2:178" s="1" customFormat="1" ht="15.75">
      <c r="B243" s="41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row>
    <row r="244" spans="2:178" s="1" customFormat="1" ht="15.75">
      <c r="B244" s="41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c r="CX244" s="72"/>
      <c r="CY244" s="72"/>
      <c r="CZ244" s="72"/>
      <c r="DA244" s="72"/>
      <c r="DB244" s="72"/>
      <c r="DC244" s="72"/>
      <c r="DD244" s="72"/>
      <c r="DE244" s="72"/>
      <c r="DF244" s="72"/>
      <c r="DG244" s="72"/>
      <c r="DH244" s="72"/>
      <c r="DI244" s="72"/>
      <c r="DJ244" s="72"/>
      <c r="DK244" s="72"/>
      <c r="DL244" s="72"/>
      <c r="DM244" s="72"/>
      <c r="DN244" s="72"/>
      <c r="DO244" s="72"/>
      <c r="DP244" s="72"/>
      <c r="DQ244" s="72"/>
      <c r="DR244" s="72"/>
      <c r="DS244" s="72"/>
      <c r="DT244" s="72"/>
      <c r="DU244" s="72"/>
      <c r="DV244" s="72"/>
      <c r="DW244" s="72"/>
      <c r="DX244" s="72"/>
      <c r="DY244" s="72"/>
      <c r="DZ244" s="72"/>
      <c r="EA244" s="72"/>
      <c r="EB244" s="72"/>
      <c r="EC244" s="72"/>
      <c r="ED244" s="72"/>
      <c r="EE244" s="72"/>
      <c r="EF244" s="72"/>
      <c r="EG244" s="72"/>
      <c r="EH244" s="72"/>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2"/>
      <c r="FU244" s="72"/>
      <c r="FV244" s="72"/>
    </row>
    <row r="245" spans="2:178" s="1" customFormat="1" ht="15.75">
      <c r="B245" s="41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72"/>
      <c r="BY245" s="72"/>
      <c r="BZ245" s="72"/>
      <c r="CA245" s="72"/>
      <c r="CB245" s="72"/>
      <c r="CC245" s="72"/>
      <c r="CD245" s="72"/>
      <c r="CE245" s="72"/>
      <c r="CF245" s="72"/>
      <c r="CG245" s="72"/>
      <c r="CH245" s="72"/>
      <c r="CI245" s="72"/>
      <c r="CJ245" s="72"/>
      <c r="CK245" s="72"/>
      <c r="CL245" s="72"/>
      <c r="CM245" s="72"/>
      <c r="CN245" s="72"/>
      <c r="CO245" s="72"/>
      <c r="CP245" s="72"/>
      <c r="CQ245" s="72"/>
      <c r="CR245" s="72"/>
      <c r="CS245" s="72"/>
      <c r="CT245" s="72"/>
      <c r="CU245" s="72"/>
      <c r="CV245" s="72"/>
      <c r="CW245" s="72"/>
      <c r="CX245" s="72"/>
      <c r="CY245" s="72"/>
      <c r="CZ245" s="72"/>
      <c r="DA245" s="72"/>
      <c r="DB245" s="72"/>
      <c r="DC245" s="72"/>
      <c r="DD245" s="72"/>
      <c r="DE245" s="72"/>
      <c r="DF245" s="72"/>
      <c r="DG245" s="72"/>
      <c r="DH245" s="72"/>
      <c r="DI245" s="72"/>
      <c r="DJ245" s="72"/>
      <c r="DK245" s="72"/>
      <c r="DL245" s="72"/>
      <c r="DM245" s="72"/>
      <c r="DN245" s="72"/>
      <c r="DO245" s="72"/>
      <c r="DP245" s="72"/>
      <c r="DQ245" s="72"/>
      <c r="DR245" s="72"/>
      <c r="DS245" s="72"/>
      <c r="DT245" s="72"/>
      <c r="DU245" s="72"/>
      <c r="DV245" s="72"/>
      <c r="DW245" s="72"/>
      <c r="DX245" s="72"/>
      <c r="DY245" s="72"/>
      <c r="DZ245" s="72"/>
      <c r="EA245" s="72"/>
      <c r="EB245" s="72"/>
      <c r="EC245" s="72"/>
      <c r="ED245" s="72"/>
      <c r="EE245" s="72"/>
      <c r="EF245" s="72"/>
      <c r="EG245" s="72"/>
      <c r="EH245" s="72"/>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2"/>
      <c r="FU245" s="72"/>
      <c r="FV245" s="72"/>
    </row>
    <row r="246" spans="2:178" s="1" customFormat="1" ht="15.75">
      <c r="B246" s="41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c r="CR246" s="72"/>
      <c r="CS246" s="72"/>
      <c r="CT246" s="72"/>
      <c r="CU246" s="72"/>
      <c r="CV246" s="72"/>
      <c r="CW246" s="72"/>
      <c r="CX246" s="72"/>
      <c r="CY246" s="72"/>
      <c r="CZ246" s="72"/>
      <c r="DA246" s="72"/>
      <c r="DB246" s="72"/>
      <c r="DC246" s="72"/>
      <c r="DD246" s="72"/>
      <c r="DE246" s="72"/>
      <c r="DF246" s="72"/>
      <c r="DG246" s="72"/>
      <c r="DH246" s="72"/>
      <c r="DI246" s="72"/>
      <c r="DJ246" s="72"/>
      <c r="DK246" s="72"/>
      <c r="DL246" s="72"/>
      <c r="DM246" s="72"/>
      <c r="DN246" s="72"/>
      <c r="DO246" s="72"/>
      <c r="DP246" s="72"/>
      <c r="DQ246" s="72"/>
      <c r="DR246" s="72"/>
      <c r="DS246" s="72"/>
      <c r="DT246" s="72"/>
      <c r="DU246" s="72"/>
      <c r="DV246" s="72"/>
      <c r="DW246" s="72"/>
      <c r="DX246" s="72"/>
      <c r="DY246" s="72"/>
      <c r="DZ246" s="72"/>
      <c r="EA246" s="72"/>
      <c r="EB246" s="72"/>
      <c r="EC246" s="72"/>
      <c r="ED246" s="72"/>
      <c r="EE246" s="72"/>
      <c r="EF246" s="72"/>
      <c r="EG246" s="72"/>
      <c r="EH246" s="72"/>
      <c r="EI246" s="72"/>
      <c r="EJ246" s="72"/>
      <c r="EK246" s="72"/>
      <c r="EL246" s="72"/>
      <c r="EM246" s="72"/>
      <c r="EN246" s="72"/>
      <c r="EO246" s="72"/>
      <c r="EP246" s="72"/>
      <c r="EQ246" s="72"/>
      <c r="ER246" s="72"/>
      <c r="ES246" s="72"/>
      <c r="ET246" s="72"/>
      <c r="EU246" s="72"/>
      <c r="EV246" s="72"/>
      <c r="EW246" s="72"/>
      <c r="EX246" s="72"/>
      <c r="EY246" s="72"/>
      <c r="EZ246" s="72"/>
      <c r="FA246" s="72"/>
      <c r="FB246" s="72"/>
      <c r="FC246" s="72"/>
      <c r="FD246" s="72"/>
      <c r="FE246" s="72"/>
      <c r="FF246" s="72"/>
      <c r="FG246" s="72"/>
      <c r="FH246" s="72"/>
      <c r="FI246" s="72"/>
      <c r="FJ246" s="72"/>
      <c r="FK246" s="72"/>
      <c r="FL246" s="72"/>
      <c r="FM246" s="72"/>
      <c r="FN246" s="72"/>
      <c r="FO246" s="72"/>
      <c r="FP246" s="72"/>
      <c r="FQ246" s="72"/>
      <c r="FR246" s="72"/>
      <c r="FS246" s="72"/>
      <c r="FT246" s="72"/>
      <c r="FU246" s="72"/>
      <c r="FV246" s="72"/>
    </row>
    <row r="247" spans="2:178" s="1" customFormat="1" ht="15.75">
      <c r="B247" s="41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c r="CR247" s="72"/>
      <c r="CS247" s="72"/>
      <c r="CT247" s="72"/>
      <c r="CU247" s="72"/>
      <c r="CV247" s="72"/>
      <c r="CW247" s="72"/>
      <c r="CX247" s="72"/>
      <c r="CY247" s="72"/>
      <c r="CZ247" s="72"/>
      <c r="DA247" s="72"/>
      <c r="DB247" s="72"/>
      <c r="DC247" s="72"/>
      <c r="DD247" s="72"/>
      <c r="DE247" s="72"/>
      <c r="DF247" s="72"/>
      <c r="DG247" s="72"/>
      <c r="DH247" s="72"/>
      <c r="DI247" s="72"/>
      <c r="DJ247" s="72"/>
      <c r="DK247" s="72"/>
      <c r="DL247" s="72"/>
      <c r="DM247" s="72"/>
      <c r="DN247" s="72"/>
      <c r="DO247" s="72"/>
      <c r="DP247" s="72"/>
      <c r="DQ247" s="72"/>
      <c r="DR247" s="72"/>
      <c r="DS247" s="72"/>
      <c r="DT247" s="72"/>
      <c r="DU247" s="72"/>
      <c r="DV247" s="72"/>
      <c r="DW247" s="72"/>
      <c r="DX247" s="72"/>
      <c r="DY247" s="72"/>
      <c r="DZ247" s="72"/>
      <c r="EA247" s="72"/>
      <c r="EB247" s="72"/>
      <c r="EC247" s="72"/>
      <c r="ED247" s="72"/>
      <c r="EE247" s="72"/>
      <c r="EF247" s="72"/>
      <c r="EG247" s="72"/>
      <c r="EH247" s="72"/>
      <c r="EI247" s="72"/>
      <c r="EJ247" s="72"/>
      <c r="EK247" s="72"/>
      <c r="EL247" s="72"/>
      <c r="EM247" s="72"/>
      <c r="EN247" s="72"/>
      <c r="EO247" s="72"/>
      <c r="EP247" s="72"/>
      <c r="EQ247" s="72"/>
      <c r="ER247" s="72"/>
      <c r="ES247" s="72"/>
      <c r="ET247" s="72"/>
      <c r="EU247" s="72"/>
      <c r="EV247" s="72"/>
      <c r="EW247" s="72"/>
      <c r="EX247" s="72"/>
      <c r="EY247" s="72"/>
      <c r="EZ247" s="72"/>
      <c r="FA247" s="72"/>
      <c r="FB247" s="72"/>
      <c r="FC247" s="72"/>
      <c r="FD247" s="72"/>
      <c r="FE247" s="72"/>
      <c r="FF247" s="72"/>
      <c r="FG247" s="72"/>
      <c r="FH247" s="72"/>
      <c r="FI247" s="72"/>
      <c r="FJ247" s="72"/>
      <c r="FK247" s="72"/>
      <c r="FL247" s="72"/>
      <c r="FM247" s="72"/>
      <c r="FN247" s="72"/>
      <c r="FO247" s="72"/>
      <c r="FP247" s="72"/>
      <c r="FQ247" s="72"/>
      <c r="FR247" s="72"/>
      <c r="FS247" s="72"/>
      <c r="FT247" s="72"/>
      <c r="FU247" s="72"/>
      <c r="FV247" s="72"/>
    </row>
    <row r="248" spans="2:178" s="1" customFormat="1" ht="15.75">
      <c r="B248" s="41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c r="CX248" s="72"/>
      <c r="CY248" s="72"/>
      <c r="CZ248" s="72"/>
      <c r="DA248" s="72"/>
      <c r="DB248" s="72"/>
      <c r="DC248" s="72"/>
      <c r="DD248" s="72"/>
      <c r="DE248" s="72"/>
      <c r="DF248" s="72"/>
      <c r="DG248" s="72"/>
      <c r="DH248" s="72"/>
      <c r="DI248" s="72"/>
      <c r="DJ248" s="72"/>
      <c r="DK248" s="72"/>
      <c r="DL248" s="72"/>
      <c r="DM248" s="72"/>
      <c r="DN248" s="72"/>
      <c r="DO248" s="72"/>
      <c r="DP248" s="72"/>
      <c r="DQ248" s="72"/>
      <c r="DR248" s="72"/>
      <c r="DS248" s="72"/>
      <c r="DT248" s="72"/>
      <c r="DU248" s="72"/>
      <c r="DV248" s="72"/>
      <c r="DW248" s="72"/>
      <c r="DX248" s="72"/>
      <c r="DY248" s="72"/>
      <c r="DZ248" s="72"/>
      <c r="EA248" s="72"/>
      <c r="EB248" s="72"/>
      <c r="EC248" s="72"/>
      <c r="ED248" s="72"/>
      <c r="EE248" s="72"/>
      <c r="EF248" s="72"/>
      <c r="EG248" s="72"/>
      <c r="EH248" s="72"/>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2"/>
      <c r="FU248" s="72"/>
      <c r="FV248" s="72"/>
    </row>
    <row r="249" spans="2:178" s="1" customFormat="1" ht="15.75">
      <c r="B249" s="41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c r="CR249" s="72"/>
      <c r="CS249" s="72"/>
      <c r="CT249" s="72"/>
      <c r="CU249" s="72"/>
      <c r="CV249" s="72"/>
      <c r="CW249" s="72"/>
      <c r="CX249" s="72"/>
      <c r="CY249" s="72"/>
      <c r="CZ249" s="72"/>
      <c r="DA249" s="72"/>
      <c r="DB249" s="72"/>
      <c r="DC249" s="72"/>
      <c r="DD249" s="72"/>
      <c r="DE249" s="72"/>
      <c r="DF249" s="72"/>
      <c r="DG249" s="72"/>
      <c r="DH249" s="72"/>
      <c r="DI249" s="72"/>
      <c r="DJ249" s="72"/>
      <c r="DK249" s="72"/>
      <c r="DL249" s="72"/>
      <c r="DM249" s="72"/>
      <c r="DN249" s="72"/>
      <c r="DO249" s="72"/>
      <c r="DP249" s="72"/>
      <c r="DQ249" s="72"/>
      <c r="DR249" s="72"/>
      <c r="DS249" s="72"/>
      <c r="DT249" s="72"/>
      <c r="DU249" s="72"/>
      <c r="DV249" s="72"/>
      <c r="DW249" s="72"/>
      <c r="DX249" s="72"/>
      <c r="DY249" s="72"/>
      <c r="DZ249" s="72"/>
      <c r="EA249" s="72"/>
      <c r="EB249" s="72"/>
      <c r="EC249" s="72"/>
      <c r="ED249" s="72"/>
      <c r="EE249" s="72"/>
      <c r="EF249" s="72"/>
      <c r="EG249" s="72"/>
      <c r="EH249" s="72"/>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2"/>
      <c r="FU249" s="72"/>
      <c r="FV249" s="72"/>
    </row>
    <row r="250" spans="2:178" s="1" customFormat="1" ht="15.75">
      <c r="B250" s="41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c r="CI250" s="72"/>
      <c r="CJ250" s="72"/>
      <c r="CK250" s="72"/>
      <c r="CL250" s="72"/>
      <c r="CM250" s="72"/>
      <c r="CN250" s="72"/>
      <c r="CO250" s="72"/>
      <c r="CP250" s="72"/>
      <c r="CQ250" s="72"/>
      <c r="CR250" s="72"/>
      <c r="CS250" s="72"/>
      <c r="CT250" s="72"/>
      <c r="CU250" s="72"/>
      <c r="CV250" s="72"/>
      <c r="CW250" s="72"/>
      <c r="CX250" s="72"/>
      <c r="CY250" s="72"/>
      <c r="CZ250" s="72"/>
      <c r="DA250" s="72"/>
      <c r="DB250" s="72"/>
      <c r="DC250" s="72"/>
      <c r="DD250" s="72"/>
      <c r="DE250" s="72"/>
      <c r="DF250" s="72"/>
      <c r="DG250" s="72"/>
      <c r="DH250" s="72"/>
      <c r="DI250" s="72"/>
      <c r="DJ250" s="72"/>
      <c r="DK250" s="72"/>
      <c r="DL250" s="72"/>
      <c r="DM250" s="72"/>
      <c r="DN250" s="72"/>
      <c r="DO250" s="72"/>
      <c r="DP250" s="72"/>
      <c r="DQ250" s="72"/>
      <c r="DR250" s="72"/>
      <c r="DS250" s="72"/>
      <c r="DT250" s="72"/>
      <c r="DU250" s="72"/>
      <c r="DV250" s="72"/>
      <c r="DW250" s="72"/>
      <c r="DX250" s="72"/>
      <c r="DY250" s="72"/>
      <c r="DZ250" s="72"/>
      <c r="EA250" s="72"/>
      <c r="EB250" s="72"/>
      <c r="EC250" s="72"/>
      <c r="ED250" s="72"/>
      <c r="EE250" s="72"/>
      <c r="EF250" s="72"/>
      <c r="EG250" s="72"/>
      <c r="EH250" s="72"/>
      <c r="EI250" s="72"/>
      <c r="EJ250" s="72"/>
      <c r="EK250" s="72"/>
      <c r="EL250" s="72"/>
      <c r="EM250" s="72"/>
      <c r="EN250" s="72"/>
      <c r="EO250" s="72"/>
      <c r="EP250" s="72"/>
      <c r="EQ250" s="72"/>
      <c r="ER250" s="72"/>
      <c r="ES250" s="72"/>
      <c r="ET250" s="72"/>
      <c r="EU250" s="72"/>
      <c r="EV250" s="72"/>
      <c r="EW250" s="72"/>
      <c r="EX250" s="72"/>
      <c r="EY250" s="72"/>
      <c r="EZ250" s="72"/>
      <c r="FA250" s="72"/>
      <c r="FB250" s="72"/>
      <c r="FC250" s="72"/>
      <c r="FD250" s="72"/>
      <c r="FE250" s="72"/>
      <c r="FF250" s="72"/>
      <c r="FG250" s="72"/>
      <c r="FH250" s="72"/>
      <c r="FI250" s="72"/>
      <c r="FJ250" s="72"/>
      <c r="FK250" s="72"/>
      <c r="FL250" s="72"/>
      <c r="FM250" s="72"/>
      <c r="FN250" s="72"/>
      <c r="FO250" s="72"/>
      <c r="FP250" s="72"/>
      <c r="FQ250" s="72"/>
      <c r="FR250" s="72"/>
      <c r="FS250" s="72"/>
      <c r="FT250" s="72"/>
      <c r="FU250" s="72"/>
      <c r="FV250" s="72"/>
    </row>
    <row r="251" spans="2:178" s="1" customFormat="1" ht="15.75">
      <c r="B251" s="41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c r="CX251" s="72"/>
      <c r="CY251" s="72"/>
      <c r="CZ251" s="72"/>
      <c r="DA251" s="72"/>
      <c r="DB251" s="72"/>
      <c r="DC251" s="72"/>
      <c r="DD251" s="72"/>
      <c r="DE251" s="72"/>
      <c r="DF251" s="72"/>
      <c r="DG251" s="72"/>
      <c r="DH251" s="72"/>
      <c r="DI251" s="72"/>
      <c r="DJ251" s="72"/>
      <c r="DK251" s="72"/>
      <c r="DL251" s="72"/>
      <c r="DM251" s="72"/>
      <c r="DN251" s="72"/>
      <c r="DO251" s="72"/>
      <c r="DP251" s="72"/>
      <c r="DQ251" s="72"/>
      <c r="DR251" s="72"/>
      <c r="DS251" s="72"/>
      <c r="DT251" s="72"/>
      <c r="DU251" s="72"/>
      <c r="DV251" s="72"/>
      <c r="DW251" s="72"/>
      <c r="DX251" s="72"/>
      <c r="DY251" s="72"/>
      <c r="DZ251" s="72"/>
      <c r="EA251" s="72"/>
      <c r="EB251" s="72"/>
      <c r="EC251" s="72"/>
      <c r="ED251" s="72"/>
      <c r="EE251" s="72"/>
      <c r="EF251" s="72"/>
      <c r="EG251" s="72"/>
      <c r="EH251" s="72"/>
      <c r="EI251" s="72"/>
      <c r="EJ251" s="72"/>
      <c r="EK251" s="72"/>
      <c r="EL251" s="72"/>
      <c r="EM251" s="72"/>
      <c r="EN251" s="72"/>
      <c r="EO251" s="72"/>
      <c r="EP251" s="72"/>
      <c r="EQ251" s="72"/>
      <c r="ER251" s="72"/>
      <c r="ES251" s="72"/>
      <c r="ET251" s="72"/>
      <c r="EU251" s="72"/>
      <c r="EV251" s="72"/>
      <c r="EW251" s="72"/>
      <c r="EX251" s="72"/>
      <c r="EY251" s="72"/>
      <c r="EZ251" s="72"/>
      <c r="FA251" s="72"/>
      <c r="FB251" s="72"/>
      <c r="FC251" s="72"/>
      <c r="FD251" s="72"/>
      <c r="FE251" s="72"/>
      <c r="FF251" s="72"/>
      <c r="FG251" s="72"/>
      <c r="FH251" s="72"/>
      <c r="FI251" s="72"/>
      <c r="FJ251" s="72"/>
      <c r="FK251" s="72"/>
      <c r="FL251" s="72"/>
      <c r="FM251" s="72"/>
      <c r="FN251" s="72"/>
      <c r="FO251" s="72"/>
      <c r="FP251" s="72"/>
      <c r="FQ251" s="72"/>
      <c r="FR251" s="72"/>
      <c r="FS251" s="72"/>
      <c r="FT251" s="72"/>
      <c r="FU251" s="72"/>
      <c r="FV251" s="72"/>
    </row>
    <row r="252" spans="2:178" s="1" customFormat="1" ht="15.75">
      <c r="B252" s="41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72"/>
      <c r="BY252" s="72"/>
      <c r="BZ252" s="72"/>
      <c r="CA252" s="72"/>
      <c r="CB252" s="72"/>
      <c r="CC252" s="72"/>
      <c r="CD252" s="72"/>
      <c r="CE252" s="72"/>
      <c r="CF252" s="72"/>
      <c r="CG252" s="72"/>
      <c r="CH252" s="72"/>
      <c r="CI252" s="72"/>
      <c r="CJ252" s="72"/>
      <c r="CK252" s="72"/>
      <c r="CL252" s="72"/>
      <c r="CM252" s="72"/>
      <c r="CN252" s="72"/>
      <c r="CO252" s="72"/>
      <c r="CP252" s="72"/>
      <c r="CQ252" s="72"/>
      <c r="CR252" s="72"/>
      <c r="CS252" s="72"/>
      <c r="CT252" s="72"/>
      <c r="CU252" s="72"/>
      <c r="CV252" s="72"/>
      <c r="CW252" s="72"/>
      <c r="CX252" s="72"/>
      <c r="CY252" s="72"/>
      <c r="CZ252" s="72"/>
      <c r="DA252" s="72"/>
      <c r="DB252" s="72"/>
      <c r="DC252" s="72"/>
      <c r="DD252" s="72"/>
      <c r="DE252" s="72"/>
      <c r="DF252" s="72"/>
      <c r="DG252" s="72"/>
      <c r="DH252" s="72"/>
      <c r="DI252" s="72"/>
      <c r="DJ252" s="72"/>
      <c r="DK252" s="72"/>
      <c r="DL252" s="72"/>
      <c r="DM252" s="72"/>
      <c r="DN252" s="72"/>
      <c r="DO252" s="72"/>
      <c r="DP252" s="72"/>
      <c r="DQ252" s="72"/>
      <c r="DR252" s="72"/>
      <c r="DS252" s="72"/>
      <c r="DT252" s="72"/>
      <c r="DU252" s="72"/>
      <c r="DV252" s="72"/>
      <c r="DW252" s="72"/>
      <c r="DX252" s="72"/>
      <c r="DY252" s="72"/>
      <c r="DZ252" s="72"/>
      <c r="EA252" s="72"/>
      <c r="EB252" s="72"/>
      <c r="EC252" s="72"/>
      <c r="ED252" s="72"/>
      <c r="EE252" s="72"/>
      <c r="EF252" s="72"/>
      <c r="EG252" s="72"/>
      <c r="EH252" s="72"/>
      <c r="EI252" s="72"/>
      <c r="EJ252" s="72"/>
      <c r="EK252" s="72"/>
      <c r="EL252" s="72"/>
      <c r="EM252" s="72"/>
      <c r="EN252" s="72"/>
      <c r="EO252" s="72"/>
      <c r="EP252" s="72"/>
      <c r="EQ252" s="72"/>
      <c r="ER252" s="72"/>
      <c r="ES252" s="72"/>
      <c r="ET252" s="72"/>
      <c r="EU252" s="72"/>
      <c r="EV252" s="72"/>
      <c r="EW252" s="72"/>
      <c r="EX252" s="72"/>
      <c r="EY252" s="72"/>
      <c r="EZ252" s="72"/>
      <c r="FA252" s="72"/>
      <c r="FB252" s="72"/>
      <c r="FC252" s="72"/>
      <c r="FD252" s="72"/>
      <c r="FE252" s="72"/>
      <c r="FF252" s="72"/>
      <c r="FG252" s="72"/>
      <c r="FH252" s="72"/>
      <c r="FI252" s="72"/>
      <c r="FJ252" s="72"/>
      <c r="FK252" s="72"/>
      <c r="FL252" s="72"/>
      <c r="FM252" s="72"/>
      <c r="FN252" s="72"/>
      <c r="FO252" s="72"/>
      <c r="FP252" s="72"/>
      <c r="FQ252" s="72"/>
      <c r="FR252" s="72"/>
      <c r="FS252" s="72"/>
      <c r="FT252" s="72"/>
      <c r="FU252" s="72"/>
      <c r="FV252" s="72"/>
    </row>
    <row r="253" spans="2:178" s="1" customFormat="1" ht="15.75">
      <c r="B253" s="41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72"/>
      <c r="BP253" s="72"/>
      <c r="BQ253" s="72"/>
      <c r="BR253" s="72"/>
      <c r="BS253" s="72"/>
      <c r="BT253" s="72"/>
      <c r="BU253" s="72"/>
      <c r="BV253" s="72"/>
      <c r="BW253" s="72"/>
      <c r="BX253" s="72"/>
      <c r="BY253" s="72"/>
      <c r="BZ253" s="72"/>
      <c r="CA253" s="72"/>
      <c r="CB253" s="72"/>
      <c r="CC253" s="72"/>
      <c r="CD253" s="72"/>
      <c r="CE253" s="72"/>
      <c r="CF253" s="72"/>
      <c r="CG253" s="72"/>
      <c r="CH253" s="72"/>
      <c r="CI253" s="72"/>
      <c r="CJ253" s="72"/>
      <c r="CK253" s="72"/>
      <c r="CL253" s="72"/>
      <c r="CM253" s="72"/>
      <c r="CN253" s="72"/>
      <c r="CO253" s="72"/>
      <c r="CP253" s="72"/>
      <c r="CQ253" s="72"/>
      <c r="CR253" s="72"/>
      <c r="CS253" s="72"/>
      <c r="CT253" s="72"/>
      <c r="CU253" s="72"/>
      <c r="CV253" s="72"/>
      <c r="CW253" s="72"/>
      <c r="CX253" s="72"/>
      <c r="CY253" s="72"/>
      <c r="CZ253" s="72"/>
      <c r="DA253" s="72"/>
      <c r="DB253" s="72"/>
      <c r="DC253" s="72"/>
      <c r="DD253" s="72"/>
      <c r="DE253" s="72"/>
      <c r="DF253" s="72"/>
      <c r="DG253" s="72"/>
      <c r="DH253" s="72"/>
      <c r="DI253" s="72"/>
      <c r="DJ253" s="72"/>
      <c r="DK253" s="72"/>
      <c r="DL253" s="72"/>
      <c r="DM253" s="72"/>
      <c r="DN253" s="72"/>
      <c r="DO253" s="72"/>
      <c r="DP253" s="72"/>
      <c r="DQ253" s="72"/>
      <c r="DR253" s="72"/>
      <c r="DS253" s="72"/>
      <c r="DT253" s="72"/>
      <c r="DU253" s="72"/>
      <c r="DV253" s="72"/>
      <c r="DW253" s="72"/>
      <c r="DX253" s="72"/>
      <c r="DY253" s="72"/>
      <c r="DZ253" s="72"/>
      <c r="EA253" s="72"/>
      <c r="EB253" s="72"/>
      <c r="EC253" s="72"/>
      <c r="ED253" s="72"/>
      <c r="EE253" s="72"/>
      <c r="EF253" s="72"/>
      <c r="EG253" s="72"/>
      <c r="EH253" s="72"/>
      <c r="EI253" s="72"/>
      <c r="EJ253" s="72"/>
      <c r="EK253" s="72"/>
      <c r="EL253" s="72"/>
      <c r="EM253" s="72"/>
      <c r="EN253" s="72"/>
      <c r="EO253" s="72"/>
      <c r="EP253" s="72"/>
      <c r="EQ253" s="72"/>
      <c r="ER253" s="72"/>
      <c r="ES253" s="72"/>
      <c r="ET253" s="72"/>
      <c r="EU253" s="72"/>
      <c r="EV253" s="72"/>
      <c r="EW253" s="72"/>
      <c r="EX253" s="72"/>
      <c r="EY253" s="72"/>
      <c r="EZ253" s="72"/>
      <c r="FA253" s="72"/>
      <c r="FB253" s="72"/>
      <c r="FC253" s="72"/>
      <c r="FD253" s="72"/>
      <c r="FE253" s="72"/>
      <c r="FF253" s="72"/>
      <c r="FG253" s="72"/>
      <c r="FH253" s="72"/>
      <c r="FI253" s="72"/>
      <c r="FJ253" s="72"/>
      <c r="FK253" s="72"/>
      <c r="FL253" s="72"/>
      <c r="FM253" s="72"/>
      <c r="FN253" s="72"/>
      <c r="FO253" s="72"/>
      <c r="FP253" s="72"/>
      <c r="FQ253" s="72"/>
      <c r="FR253" s="72"/>
      <c r="FS253" s="72"/>
      <c r="FT253" s="72"/>
      <c r="FU253" s="72"/>
      <c r="FV253" s="72"/>
    </row>
    <row r="254" spans="2:178" s="1" customFormat="1" ht="15.75">
      <c r="B254" s="41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c r="BO254" s="72"/>
      <c r="BP254" s="72"/>
      <c r="BQ254" s="72"/>
      <c r="BR254" s="72"/>
      <c r="BS254" s="72"/>
      <c r="BT254" s="72"/>
      <c r="BU254" s="72"/>
      <c r="BV254" s="72"/>
      <c r="BW254" s="72"/>
      <c r="BX254" s="72"/>
      <c r="BY254" s="72"/>
      <c r="BZ254" s="72"/>
      <c r="CA254" s="72"/>
      <c r="CB254" s="72"/>
      <c r="CC254" s="72"/>
      <c r="CD254" s="72"/>
      <c r="CE254" s="72"/>
      <c r="CF254" s="72"/>
      <c r="CG254" s="72"/>
      <c r="CH254" s="72"/>
      <c r="CI254" s="72"/>
      <c r="CJ254" s="72"/>
      <c r="CK254" s="72"/>
      <c r="CL254" s="72"/>
      <c r="CM254" s="72"/>
      <c r="CN254" s="72"/>
      <c r="CO254" s="72"/>
      <c r="CP254" s="72"/>
      <c r="CQ254" s="72"/>
      <c r="CR254" s="72"/>
      <c r="CS254" s="72"/>
      <c r="CT254" s="72"/>
      <c r="CU254" s="72"/>
      <c r="CV254" s="72"/>
      <c r="CW254" s="72"/>
      <c r="CX254" s="72"/>
      <c r="CY254" s="72"/>
      <c r="CZ254" s="72"/>
      <c r="DA254" s="72"/>
      <c r="DB254" s="72"/>
      <c r="DC254" s="72"/>
      <c r="DD254" s="72"/>
      <c r="DE254" s="72"/>
      <c r="DF254" s="72"/>
      <c r="DG254" s="72"/>
      <c r="DH254" s="72"/>
      <c r="DI254" s="72"/>
      <c r="DJ254" s="72"/>
      <c r="DK254" s="72"/>
      <c r="DL254" s="72"/>
      <c r="DM254" s="72"/>
      <c r="DN254" s="72"/>
      <c r="DO254" s="72"/>
      <c r="DP254" s="72"/>
      <c r="DQ254" s="72"/>
      <c r="DR254" s="72"/>
      <c r="DS254" s="72"/>
      <c r="DT254" s="72"/>
      <c r="DU254" s="72"/>
      <c r="DV254" s="72"/>
      <c r="DW254" s="72"/>
      <c r="DX254" s="72"/>
      <c r="DY254" s="72"/>
      <c r="DZ254" s="72"/>
      <c r="EA254" s="72"/>
      <c r="EB254" s="72"/>
      <c r="EC254" s="72"/>
      <c r="ED254" s="72"/>
      <c r="EE254" s="72"/>
      <c r="EF254" s="72"/>
      <c r="EG254" s="72"/>
      <c r="EH254" s="72"/>
      <c r="EI254" s="72"/>
      <c r="EJ254" s="72"/>
      <c r="EK254" s="72"/>
      <c r="EL254" s="72"/>
      <c r="EM254" s="72"/>
      <c r="EN254" s="72"/>
      <c r="EO254" s="72"/>
      <c r="EP254" s="72"/>
      <c r="EQ254" s="72"/>
      <c r="ER254" s="72"/>
      <c r="ES254" s="72"/>
      <c r="ET254" s="72"/>
      <c r="EU254" s="72"/>
      <c r="EV254" s="72"/>
      <c r="EW254" s="72"/>
      <c r="EX254" s="72"/>
      <c r="EY254" s="72"/>
      <c r="EZ254" s="72"/>
      <c r="FA254" s="72"/>
      <c r="FB254" s="72"/>
      <c r="FC254" s="72"/>
      <c r="FD254" s="72"/>
      <c r="FE254" s="72"/>
      <c r="FF254" s="72"/>
      <c r="FG254" s="72"/>
      <c r="FH254" s="72"/>
      <c r="FI254" s="72"/>
      <c r="FJ254" s="72"/>
      <c r="FK254" s="72"/>
      <c r="FL254" s="72"/>
      <c r="FM254" s="72"/>
      <c r="FN254" s="72"/>
      <c r="FO254" s="72"/>
      <c r="FP254" s="72"/>
      <c r="FQ254" s="72"/>
      <c r="FR254" s="72"/>
      <c r="FS254" s="72"/>
      <c r="FT254" s="72"/>
      <c r="FU254" s="72"/>
      <c r="FV254" s="72"/>
    </row>
    <row r="255" spans="2:178" s="1" customFormat="1" ht="15.75">
      <c r="B255" s="41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72"/>
      <c r="BY255" s="72"/>
      <c r="BZ255" s="72"/>
      <c r="CA255" s="72"/>
      <c r="CB255" s="72"/>
      <c r="CC255" s="72"/>
      <c r="CD255" s="72"/>
      <c r="CE255" s="72"/>
      <c r="CF255" s="72"/>
      <c r="CG255" s="72"/>
      <c r="CH255" s="72"/>
      <c r="CI255" s="72"/>
      <c r="CJ255" s="72"/>
      <c r="CK255" s="72"/>
      <c r="CL255" s="72"/>
      <c r="CM255" s="72"/>
      <c r="CN255" s="72"/>
      <c r="CO255" s="72"/>
      <c r="CP255" s="72"/>
      <c r="CQ255" s="72"/>
      <c r="CR255" s="72"/>
      <c r="CS255" s="72"/>
      <c r="CT255" s="72"/>
      <c r="CU255" s="72"/>
      <c r="CV255" s="72"/>
      <c r="CW255" s="72"/>
      <c r="CX255" s="72"/>
      <c r="CY255" s="72"/>
      <c r="CZ255" s="72"/>
      <c r="DA255" s="72"/>
      <c r="DB255" s="72"/>
      <c r="DC255" s="72"/>
      <c r="DD255" s="72"/>
      <c r="DE255" s="72"/>
      <c r="DF255" s="72"/>
      <c r="DG255" s="72"/>
      <c r="DH255" s="72"/>
      <c r="DI255" s="72"/>
      <c r="DJ255" s="72"/>
      <c r="DK255" s="72"/>
      <c r="DL255" s="72"/>
      <c r="DM255" s="72"/>
      <c r="DN255" s="72"/>
      <c r="DO255" s="72"/>
      <c r="DP255" s="72"/>
      <c r="DQ255" s="72"/>
      <c r="DR255" s="72"/>
      <c r="DS255" s="72"/>
      <c r="DT255" s="72"/>
      <c r="DU255" s="72"/>
      <c r="DV255" s="72"/>
      <c r="DW255" s="72"/>
      <c r="DX255" s="72"/>
      <c r="DY255" s="72"/>
      <c r="DZ255" s="72"/>
      <c r="EA255" s="72"/>
      <c r="EB255" s="72"/>
      <c r="EC255" s="72"/>
      <c r="ED255" s="72"/>
      <c r="EE255" s="72"/>
      <c r="EF255" s="72"/>
      <c r="EG255" s="72"/>
      <c r="EH255" s="72"/>
      <c r="EI255" s="72"/>
      <c r="EJ255" s="72"/>
      <c r="EK255" s="72"/>
      <c r="EL255" s="72"/>
      <c r="EM255" s="72"/>
      <c r="EN255" s="72"/>
      <c r="EO255" s="72"/>
      <c r="EP255" s="72"/>
      <c r="EQ255" s="72"/>
      <c r="ER255" s="72"/>
      <c r="ES255" s="72"/>
      <c r="ET255" s="72"/>
      <c r="EU255" s="72"/>
      <c r="EV255" s="72"/>
      <c r="EW255" s="72"/>
      <c r="EX255" s="72"/>
      <c r="EY255" s="72"/>
      <c r="EZ255" s="72"/>
      <c r="FA255" s="72"/>
      <c r="FB255" s="72"/>
      <c r="FC255" s="72"/>
      <c r="FD255" s="72"/>
      <c r="FE255" s="72"/>
      <c r="FF255" s="72"/>
      <c r="FG255" s="72"/>
      <c r="FH255" s="72"/>
      <c r="FI255" s="72"/>
      <c r="FJ255" s="72"/>
      <c r="FK255" s="72"/>
      <c r="FL255" s="72"/>
      <c r="FM255" s="72"/>
      <c r="FN255" s="72"/>
      <c r="FO255" s="72"/>
      <c r="FP255" s="72"/>
      <c r="FQ255" s="72"/>
      <c r="FR255" s="72"/>
      <c r="FS255" s="72"/>
      <c r="FT255" s="72"/>
      <c r="FU255" s="72"/>
      <c r="FV255" s="72"/>
    </row>
    <row r="256" spans="2:178" s="1" customFormat="1" ht="15.75">
      <c r="B256" s="41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c r="CI256" s="72"/>
      <c r="CJ256" s="72"/>
      <c r="CK256" s="72"/>
      <c r="CL256" s="72"/>
      <c r="CM256" s="72"/>
      <c r="CN256" s="72"/>
      <c r="CO256" s="72"/>
      <c r="CP256" s="72"/>
      <c r="CQ256" s="72"/>
      <c r="CR256" s="72"/>
      <c r="CS256" s="72"/>
      <c r="CT256" s="72"/>
      <c r="CU256" s="72"/>
      <c r="CV256" s="72"/>
      <c r="CW256" s="72"/>
      <c r="CX256" s="72"/>
      <c r="CY256" s="72"/>
      <c r="CZ256" s="72"/>
      <c r="DA256" s="72"/>
      <c r="DB256" s="72"/>
      <c r="DC256" s="72"/>
      <c r="DD256" s="72"/>
      <c r="DE256" s="72"/>
      <c r="DF256" s="72"/>
      <c r="DG256" s="72"/>
      <c r="DH256" s="72"/>
      <c r="DI256" s="72"/>
      <c r="DJ256" s="72"/>
      <c r="DK256" s="72"/>
      <c r="DL256" s="72"/>
      <c r="DM256" s="72"/>
      <c r="DN256" s="72"/>
      <c r="DO256" s="72"/>
      <c r="DP256" s="72"/>
      <c r="DQ256" s="72"/>
      <c r="DR256" s="72"/>
      <c r="DS256" s="72"/>
      <c r="DT256" s="72"/>
      <c r="DU256" s="72"/>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row>
    <row r="257" spans="2:178" s="1" customFormat="1" ht="15.75">
      <c r="B257" s="41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c r="BO257" s="72"/>
      <c r="BP257" s="72"/>
      <c r="BQ257" s="72"/>
      <c r="BR257" s="72"/>
      <c r="BS257" s="72"/>
      <c r="BT257" s="72"/>
      <c r="BU257" s="72"/>
      <c r="BV257" s="72"/>
      <c r="BW257" s="72"/>
      <c r="BX257" s="72"/>
      <c r="BY257" s="72"/>
      <c r="BZ257" s="72"/>
      <c r="CA257" s="72"/>
      <c r="CB257" s="72"/>
      <c r="CC257" s="72"/>
      <c r="CD257" s="72"/>
      <c r="CE257" s="72"/>
      <c r="CF257" s="72"/>
      <c r="CG257" s="72"/>
      <c r="CH257" s="72"/>
      <c r="CI257" s="72"/>
      <c r="CJ257" s="72"/>
      <c r="CK257" s="72"/>
      <c r="CL257" s="72"/>
      <c r="CM257" s="72"/>
      <c r="CN257" s="72"/>
      <c r="CO257" s="72"/>
      <c r="CP257" s="72"/>
      <c r="CQ257" s="72"/>
      <c r="CR257" s="72"/>
      <c r="CS257" s="72"/>
      <c r="CT257" s="72"/>
      <c r="CU257" s="72"/>
      <c r="CV257" s="72"/>
      <c r="CW257" s="72"/>
      <c r="CX257" s="72"/>
      <c r="CY257" s="72"/>
      <c r="CZ257" s="72"/>
      <c r="DA257" s="72"/>
      <c r="DB257" s="72"/>
      <c r="DC257" s="72"/>
      <c r="DD257" s="72"/>
      <c r="DE257" s="72"/>
      <c r="DF257" s="72"/>
      <c r="DG257" s="72"/>
      <c r="DH257" s="72"/>
      <c r="DI257" s="72"/>
      <c r="DJ257" s="72"/>
      <c r="DK257" s="72"/>
      <c r="DL257" s="72"/>
      <c r="DM257" s="72"/>
      <c r="DN257" s="72"/>
      <c r="DO257" s="72"/>
      <c r="DP257" s="72"/>
      <c r="DQ257" s="72"/>
      <c r="DR257" s="72"/>
      <c r="DS257" s="72"/>
      <c r="DT257" s="72"/>
      <c r="DU257" s="72"/>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row>
    <row r="258" spans="2:178" s="1" customFormat="1" ht="15.75">
      <c r="B258" s="41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72"/>
      <c r="BY258" s="72"/>
      <c r="BZ258" s="72"/>
      <c r="CA258" s="72"/>
      <c r="CB258" s="72"/>
      <c r="CC258" s="72"/>
      <c r="CD258" s="72"/>
      <c r="CE258" s="72"/>
      <c r="CF258" s="72"/>
      <c r="CG258" s="72"/>
      <c r="CH258" s="72"/>
      <c r="CI258" s="72"/>
      <c r="CJ258" s="72"/>
      <c r="CK258" s="72"/>
      <c r="CL258" s="72"/>
      <c r="CM258" s="72"/>
      <c r="CN258" s="72"/>
      <c r="CO258" s="72"/>
      <c r="CP258" s="72"/>
      <c r="CQ258" s="72"/>
      <c r="CR258" s="72"/>
      <c r="CS258" s="72"/>
      <c r="CT258" s="72"/>
      <c r="CU258" s="72"/>
      <c r="CV258" s="72"/>
      <c r="CW258" s="72"/>
      <c r="CX258" s="72"/>
      <c r="CY258" s="72"/>
      <c r="CZ258" s="72"/>
      <c r="DA258" s="72"/>
      <c r="DB258" s="72"/>
      <c r="DC258" s="72"/>
      <c r="DD258" s="72"/>
      <c r="DE258" s="72"/>
      <c r="DF258" s="72"/>
      <c r="DG258" s="72"/>
      <c r="DH258" s="72"/>
      <c r="DI258" s="72"/>
      <c r="DJ258" s="72"/>
      <c r="DK258" s="72"/>
      <c r="DL258" s="72"/>
      <c r="DM258" s="72"/>
      <c r="DN258" s="72"/>
      <c r="DO258" s="72"/>
      <c r="DP258" s="72"/>
      <c r="DQ258" s="72"/>
      <c r="DR258" s="72"/>
      <c r="DS258" s="72"/>
      <c r="DT258" s="72"/>
      <c r="DU258" s="72"/>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row>
    <row r="259" spans="2:178" s="1" customFormat="1" ht="15.75">
      <c r="B259" s="41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Q259" s="72"/>
      <c r="CR259" s="72"/>
      <c r="CS259" s="72"/>
      <c r="CT259" s="72"/>
      <c r="CU259" s="72"/>
      <c r="CV259" s="72"/>
      <c r="CW259" s="72"/>
      <c r="CX259" s="72"/>
      <c r="CY259" s="72"/>
      <c r="CZ259" s="72"/>
      <c r="DA259" s="72"/>
      <c r="DB259" s="72"/>
      <c r="DC259" s="72"/>
      <c r="DD259" s="72"/>
      <c r="DE259" s="72"/>
      <c r="DF259" s="72"/>
      <c r="DG259" s="72"/>
      <c r="DH259" s="72"/>
      <c r="DI259" s="72"/>
      <c r="DJ259" s="72"/>
      <c r="DK259" s="72"/>
      <c r="DL259" s="72"/>
      <c r="DM259" s="72"/>
      <c r="DN259" s="72"/>
      <c r="DO259" s="72"/>
      <c r="DP259" s="72"/>
      <c r="DQ259" s="72"/>
      <c r="DR259" s="72"/>
      <c r="DS259" s="72"/>
      <c r="DT259" s="72"/>
      <c r="DU259" s="72"/>
      <c r="DV259" s="72"/>
      <c r="DW259" s="72"/>
      <c r="DX259" s="72"/>
      <c r="DY259" s="72"/>
      <c r="DZ259" s="72"/>
      <c r="EA259" s="72"/>
      <c r="EB259" s="72"/>
      <c r="EC259" s="72"/>
      <c r="ED259" s="72"/>
      <c r="EE259" s="72"/>
      <c r="EF259" s="72"/>
      <c r="EG259" s="72"/>
      <c r="EH259" s="72"/>
      <c r="EI259" s="72"/>
      <c r="EJ259" s="72"/>
      <c r="EK259" s="72"/>
      <c r="EL259" s="72"/>
      <c r="EM259" s="72"/>
      <c r="EN259" s="72"/>
      <c r="EO259" s="72"/>
      <c r="EP259" s="72"/>
      <c r="EQ259" s="72"/>
      <c r="ER259" s="72"/>
      <c r="ES259" s="72"/>
      <c r="ET259" s="72"/>
      <c r="EU259" s="72"/>
      <c r="EV259" s="72"/>
      <c r="EW259" s="72"/>
      <c r="EX259" s="72"/>
      <c r="EY259" s="72"/>
      <c r="EZ259" s="72"/>
      <c r="FA259" s="72"/>
      <c r="FB259" s="72"/>
      <c r="FC259" s="72"/>
      <c r="FD259" s="72"/>
      <c r="FE259" s="72"/>
      <c r="FF259" s="72"/>
      <c r="FG259" s="72"/>
      <c r="FH259" s="72"/>
      <c r="FI259" s="72"/>
      <c r="FJ259" s="72"/>
      <c r="FK259" s="72"/>
      <c r="FL259" s="72"/>
      <c r="FM259" s="72"/>
      <c r="FN259" s="72"/>
      <c r="FO259" s="72"/>
      <c r="FP259" s="72"/>
      <c r="FQ259" s="72"/>
      <c r="FR259" s="72"/>
      <c r="FS259" s="72"/>
      <c r="FT259" s="72"/>
      <c r="FU259" s="72"/>
      <c r="FV259" s="72"/>
    </row>
    <row r="260" spans="2:178" s="1" customFormat="1" ht="15.75">
      <c r="B260" s="41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72"/>
      <c r="BY260" s="72"/>
      <c r="BZ260" s="72"/>
      <c r="CA260" s="72"/>
      <c r="CB260" s="72"/>
      <c r="CC260" s="72"/>
      <c r="CD260" s="72"/>
      <c r="CE260" s="72"/>
      <c r="CF260" s="72"/>
      <c r="CG260" s="72"/>
      <c r="CH260" s="72"/>
      <c r="CI260" s="72"/>
      <c r="CJ260" s="72"/>
      <c r="CK260" s="72"/>
      <c r="CL260" s="72"/>
      <c r="CM260" s="72"/>
      <c r="CN260" s="72"/>
      <c r="CO260" s="72"/>
      <c r="CP260" s="72"/>
      <c r="CQ260" s="72"/>
      <c r="CR260" s="72"/>
      <c r="CS260" s="72"/>
      <c r="CT260" s="72"/>
      <c r="CU260" s="72"/>
      <c r="CV260" s="72"/>
      <c r="CW260" s="72"/>
      <c r="CX260" s="72"/>
      <c r="CY260" s="72"/>
      <c r="CZ260" s="72"/>
      <c r="DA260" s="72"/>
      <c r="DB260" s="72"/>
      <c r="DC260" s="72"/>
      <c r="DD260" s="72"/>
      <c r="DE260" s="72"/>
      <c r="DF260" s="72"/>
      <c r="DG260" s="72"/>
      <c r="DH260" s="72"/>
      <c r="DI260" s="72"/>
      <c r="DJ260" s="72"/>
      <c r="DK260" s="72"/>
      <c r="DL260" s="72"/>
      <c r="DM260" s="72"/>
      <c r="DN260" s="72"/>
      <c r="DO260" s="72"/>
      <c r="DP260" s="72"/>
      <c r="DQ260" s="72"/>
      <c r="DR260" s="72"/>
      <c r="DS260" s="72"/>
      <c r="DT260" s="72"/>
      <c r="DU260" s="72"/>
      <c r="DV260" s="72"/>
      <c r="DW260" s="72"/>
      <c r="DX260" s="72"/>
      <c r="DY260" s="72"/>
      <c r="DZ260" s="72"/>
      <c r="EA260" s="72"/>
      <c r="EB260" s="72"/>
      <c r="EC260" s="72"/>
      <c r="ED260" s="72"/>
      <c r="EE260" s="72"/>
      <c r="EF260" s="72"/>
      <c r="EG260" s="72"/>
      <c r="EH260" s="72"/>
      <c r="EI260" s="72"/>
      <c r="EJ260" s="72"/>
      <c r="EK260" s="72"/>
      <c r="EL260" s="72"/>
      <c r="EM260" s="72"/>
      <c r="EN260" s="72"/>
      <c r="EO260" s="72"/>
      <c r="EP260" s="72"/>
      <c r="EQ260" s="72"/>
      <c r="ER260" s="72"/>
      <c r="ES260" s="72"/>
      <c r="ET260" s="72"/>
      <c r="EU260" s="72"/>
      <c r="EV260" s="72"/>
      <c r="EW260" s="72"/>
      <c r="EX260" s="72"/>
      <c r="EY260" s="72"/>
      <c r="EZ260" s="72"/>
      <c r="FA260" s="72"/>
      <c r="FB260" s="72"/>
      <c r="FC260" s="72"/>
      <c r="FD260" s="72"/>
      <c r="FE260" s="72"/>
      <c r="FF260" s="72"/>
      <c r="FG260" s="72"/>
      <c r="FH260" s="72"/>
      <c r="FI260" s="72"/>
      <c r="FJ260" s="72"/>
      <c r="FK260" s="72"/>
      <c r="FL260" s="72"/>
      <c r="FM260" s="72"/>
      <c r="FN260" s="72"/>
      <c r="FO260" s="72"/>
      <c r="FP260" s="72"/>
      <c r="FQ260" s="72"/>
      <c r="FR260" s="72"/>
      <c r="FS260" s="72"/>
      <c r="FT260" s="72"/>
      <c r="FU260" s="72"/>
      <c r="FV260" s="72"/>
    </row>
    <row r="261" spans="2:178" s="1" customFormat="1" ht="15.75">
      <c r="B261" s="41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c r="CR261" s="72"/>
      <c r="CS261" s="72"/>
      <c r="CT261" s="72"/>
      <c r="CU261" s="72"/>
      <c r="CV261" s="72"/>
      <c r="CW261" s="72"/>
      <c r="CX261" s="72"/>
      <c r="CY261" s="72"/>
      <c r="CZ261" s="72"/>
      <c r="DA261" s="72"/>
      <c r="DB261" s="72"/>
      <c r="DC261" s="72"/>
      <c r="DD261" s="72"/>
      <c r="DE261" s="72"/>
      <c r="DF261" s="72"/>
      <c r="DG261" s="72"/>
      <c r="DH261" s="72"/>
      <c r="DI261" s="72"/>
      <c r="DJ261" s="72"/>
      <c r="DK261" s="72"/>
      <c r="DL261" s="72"/>
      <c r="DM261" s="72"/>
      <c r="DN261" s="72"/>
      <c r="DO261" s="72"/>
      <c r="DP261" s="72"/>
      <c r="DQ261" s="72"/>
      <c r="DR261" s="72"/>
      <c r="DS261" s="72"/>
      <c r="DT261" s="72"/>
      <c r="DU261" s="72"/>
      <c r="DV261" s="72"/>
      <c r="DW261" s="72"/>
      <c r="DX261" s="72"/>
      <c r="DY261" s="72"/>
      <c r="DZ261" s="72"/>
      <c r="EA261" s="72"/>
      <c r="EB261" s="72"/>
      <c r="EC261" s="72"/>
      <c r="ED261" s="72"/>
      <c r="EE261" s="72"/>
      <c r="EF261" s="72"/>
      <c r="EG261" s="72"/>
      <c r="EH261" s="72"/>
      <c r="EI261" s="72"/>
      <c r="EJ261" s="72"/>
      <c r="EK261" s="72"/>
      <c r="EL261" s="72"/>
      <c r="EM261" s="72"/>
      <c r="EN261" s="72"/>
      <c r="EO261" s="72"/>
      <c r="EP261" s="72"/>
      <c r="EQ261" s="72"/>
      <c r="ER261" s="72"/>
      <c r="ES261" s="72"/>
      <c r="ET261" s="72"/>
      <c r="EU261" s="72"/>
      <c r="EV261" s="72"/>
      <c r="EW261" s="72"/>
      <c r="EX261" s="72"/>
      <c r="EY261" s="72"/>
      <c r="EZ261" s="72"/>
      <c r="FA261" s="72"/>
      <c r="FB261" s="72"/>
      <c r="FC261" s="72"/>
      <c r="FD261" s="72"/>
      <c r="FE261" s="72"/>
      <c r="FF261" s="72"/>
      <c r="FG261" s="72"/>
      <c r="FH261" s="72"/>
      <c r="FI261" s="72"/>
      <c r="FJ261" s="72"/>
      <c r="FK261" s="72"/>
      <c r="FL261" s="72"/>
      <c r="FM261" s="72"/>
      <c r="FN261" s="72"/>
      <c r="FO261" s="72"/>
      <c r="FP261" s="72"/>
      <c r="FQ261" s="72"/>
      <c r="FR261" s="72"/>
      <c r="FS261" s="72"/>
      <c r="FT261" s="72"/>
      <c r="FU261" s="72"/>
      <c r="FV261" s="72"/>
    </row>
    <row r="262" spans="2:178" s="1" customFormat="1" ht="15.75">
      <c r="B262" s="41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Q262" s="72"/>
      <c r="CR262" s="72"/>
      <c r="CS262" s="72"/>
      <c r="CT262" s="72"/>
      <c r="CU262" s="72"/>
      <c r="CV262" s="72"/>
      <c r="CW262" s="72"/>
      <c r="CX262" s="72"/>
      <c r="CY262" s="72"/>
      <c r="CZ262" s="72"/>
      <c r="DA262" s="72"/>
      <c r="DB262" s="72"/>
      <c r="DC262" s="72"/>
      <c r="DD262" s="72"/>
      <c r="DE262" s="72"/>
      <c r="DF262" s="72"/>
      <c r="DG262" s="72"/>
      <c r="DH262" s="72"/>
      <c r="DI262" s="72"/>
      <c r="DJ262" s="72"/>
      <c r="DK262" s="72"/>
      <c r="DL262" s="72"/>
      <c r="DM262" s="72"/>
      <c r="DN262" s="72"/>
      <c r="DO262" s="72"/>
      <c r="DP262" s="72"/>
      <c r="DQ262" s="72"/>
      <c r="DR262" s="72"/>
      <c r="DS262" s="72"/>
      <c r="DT262" s="72"/>
      <c r="DU262" s="72"/>
      <c r="DV262" s="72"/>
      <c r="DW262" s="72"/>
      <c r="DX262" s="72"/>
      <c r="DY262" s="72"/>
      <c r="DZ262" s="72"/>
      <c r="EA262" s="72"/>
      <c r="EB262" s="72"/>
      <c r="EC262" s="72"/>
      <c r="ED262" s="72"/>
      <c r="EE262" s="72"/>
      <c r="EF262" s="72"/>
      <c r="EG262" s="72"/>
      <c r="EH262" s="72"/>
      <c r="EI262" s="72"/>
      <c r="EJ262" s="72"/>
      <c r="EK262" s="72"/>
      <c r="EL262" s="72"/>
      <c r="EM262" s="72"/>
      <c r="EN262" s="72"/>
      <c r="EO262" s="72"/>
      <c r="EP262" s="72"/>
      <c r="EQ262" s="72"/>
      <c r="ER262" s="72"/>
      <c r="ES262" s="72"/>
      <c r="ET262" s="72"/>
      <c r="EU262" s="72"/>
      <c r="EV262" s="72"/>
      <c r="EW262" s="72"/>
      <c r="EX262" s="72"/>
      <c r="EY262" s="72"/>
      <c r="EZ262" s="72"/>
      <c r="FA262" s="72"/>
      <c r="FB262" s="72"/>
      <c r="FC262" s="72"/>
      <c r="FD262" s="72"/>
      <c r="FE262" s="72"/>
      <c r="FF262" s="72"/>
      <c r="FG262" s="72"/>
      <c r="FH262" s="72"/>
      <c r="FI262" s="72"/>
      <c r="FJ262" s="72"/>
      <c r="FK262" s="72"/>
      <c r="FL262" s="72"/>
      <c r="FM262" s="72"/>
      <c r="FN262" s="72"/>
      <c r="FO262" s="72"/>
      <c r="FP262" s="72"/>
      <c r="FQ262" s="72"/>
      <c r="FR262" s="72"/>
      <c r="FS262" s="72"/>
      <c r="FT262" s="72"/>
      <c r="FU262" s="72"/>
      <c r="FV262" s="72"/>
    </row>
    <row r="263" spans="2:178" s="1" customFormat="1" ht="15.75">
      <c r="B263" s="41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c r="CR263" s="72"/>
      <c r="CS263" s="72"/>
      <c r="CT263" s="72"/>
      <c r="CU263" s="72"/>
      <c r="CV263" s="72"/>
      <c r="CW263" s="72"/>
      <c r="CX263" s="72"/>
      <c r="CY263" s="72"/>
      <c r="CZ263" s="72"/>
      <c r="DA263" s="72"/>
      <c r="DB263" s="72"/>
      <c r="DC263" s="72"/>
      <c r="DD263" s="72"/>
      <c r="DE263" s="72"/>
      <c r="DF263" s="72"/>
      <c r="DG263" s="72"/>
      <c r="DH263" s="72"/>
      <c r="DI263" s="72"/>
      <c r="DJ263" s="72"/>
      <c r="DK263" s="72"/>
      <c r="DL263" s="72"/>
      <c r="DM263" s="72"/>
      <c r="DN263" s="72"/>
      <c r="DO263" s="72"/>
      <c r="DP263" s="72"/>
      <c r="DQ263" s="72"/>
      <c r="DR263" s="72"/>
      <c r="DS263" s="72"/>
      <c r="DT263" s="72"/>
      <c r="DU263" s="72"/>
      <c r="DV263" s="72"/>
      <c r="DW263" s="72"/>
      <c r="DX263" s="72"/>
      <c r="DY263" s="72"/>
      <c r="DZ263" s="72"/>
      <c r="EA263" s="72"/>
      <c r="EB263" s="72"/>
      <c r="EC263" s="72"/>
      <c r="ED263" s="72"/>
      <c r="EE263" s="72"/>
      <c r="EF263" s="72"/>
      <c r="EG263" s="72"/>
      <c r="EH263" s="72"/>
      <c r="EI263" s="72"/>
      <c r="EJ263" s="72"/>
      <c r="EK263" s="72"/>
      <c r="EL263" s="72"/>
      <c r="EM263" s="72"/>
      <c r="EN263" s="72"/>
      <c r="EO263" s="72"/>
      <c r="EP263" s="72"/>
      <c r="EQ263" s="72"/>
      <c r="ER263" s="72"/>
      <c r="ES263" s="72"/>
      <c r="ET263" s="72"/>
      <c r="EU263" s="72"/>
      <c r="EV263" s="72"/>
      <c r="EW263" s="72"/>
      <c r="EX263" s="72"/>
      <c r="EY263" s="72"/>
      <c r="EZ263" s="72"/>
      <c r="FA263" s="72"/>
      <c r="FB263" s="72"/>
      <c r="FC263" s="72"/>
      <c r="FD263" s="72"/>
      <c r="FE263" s="72"/>
      <c r="FF263" s="72"/>
      <c r="FG263" s="72"/>
      <c r="FH263" s="72"/>
      <c r="FI263" s="72"/>
      <c r="FJ263" s="72"/>
      <c r="FK263" s="72"/>
      <c r="FL263" s="72"/>
      <c r="FM263" s="72"/>
      <c r="FN263" s="72"/>
      <c r="FO263" s="72"/>
      <c r="FP263" s="72"/>
      <c r="FQ263" s="72"/>
      <c r="FR263" s="72"/>
      <c r="FS263" s="72"/>
      <c r="FT263" s="72"/>
      <c r="FU263" s="72"/>
      <c r="FV263" s="72"/>
    </row>
    <row r="264" spans="2:178" s="1" customFormat="1" ht="15.75">
      <c r="B264" s="41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72"/>
      <c r="BY264" s="72"/>
      <c r="BZ264" s="72"/>
      <c r="CA264" s="72"/>
      <c r="CB264" s="72"/>
      <c r="CC264" s="72"/>
      <c r="CD264" s="72"/>
      <c r="CE264" s="72"/>
      <c r="CF264" s="72"/>
      <c r="CG264" s="72"/>
      <c r="CH264" s="72"/>
      <c r="CI264" s="72"/>
      <c r="CJ264" s="72"/>
      <c r="CK264" s="72"/>
      <c r="CL264" s="72"/>
      <c r="CM264" s="72"/>
      <c r="CN264" s="72"/>
      <c r="CO264" s="72"/>
      <c r="CP264" s="72"/>
      <c r="CQ264" s="72"/>
      <c r="CR264" s="72"/>
      <c r="CS264" s="72"/>
      <c r="CT264" s="72"/>
      <c r="CU264" s="72"/>
      <c r="CV264" s="72"/>
      <c r="CW264" s="72"/>
      <c r="CX264" s="72"/>
      <c r="CY264" s="72"/>
      <c r="CZ264" s="72"/>
      <c r="DA264" s="72"/>
      <c r="DB264" s="72"/>
      <c r="DC264" s="72"/>
      <c r="DD264" s="72"/>
      <c r="DE264" s="72"/>
      <c r="DF264" s="72"/>
      <c r="DG264" s="72"/>
      <c r="DH264" s="72"/>
      <c r="DI264" s="72"/>
      <c r="DJ264" s="72"/>
      <c r="DK264" s="72"/>
      <c r="DL264" s="72"/>
      <c r="DM264" s="72"/>
      <c r="DN264" s="72"/>
      <c r="DO264" s="72"/>
      <c r="DP264" s="72"/>
      <c r="DQ264" s="72"/>
      <c r="DR264" s="72"/>
      <c r="DS264" s="72"/>
      <c r="DT264" s="72"/>
      <c r="DU264" s="72"/>
      <c r="DV264" s="72"/>
      <c r="DW264" s="72"/>
      <c r="DX264" s="72"/>
      <c r="DY264" s="72"/>
      <c r="DZ264" s="72"/>
      <c r="EA264" s="72"/>
      <c r="EB264" s="72"/>
      <c r="EC264" s="72"/>
      <c r="ED264" s="72"/>
      <c r="EE264" s="72"/>
      <c r="EF264" s="72"/>
      <c r="EG264" s="72"/>
      <c r="EH264" s="72"/>
      <c r="EI264" s="72"/>
      <c r="EJ264" s="72"/>
      <c r="EK264" s="72"/>
      <c r="EL264" s="72"/>
      <c r="EM264" s="72"/>
      <c r="EN264" s="72"/>
      <c r="EO264" s="72"/>
      <c r="EP264" s="72"/>
      <c r="EQ264" s="72"/>
      <c r="ER264" s="72"/>
      <c r="ES264" s="72"/>
      <c r="ET264" s="72"/>
      <c r="EU264" s="72"/>
      <c r="EV264" s="72"/>
      <c r="EW264" s="72"/>
      <c r="EX264" s="72"/>
      <c r="EY264" s="72"/>
      <c r="EZ264" s="72"/>
      <c r="FA264" s="72"/>
      <c r="FB264" s="72"/>
      <c r="FC264" s="72"/>
      <c r="FD264" s="72"/>
      <c r="FE264" s="72"/>
      <c r="FF264" s="72"/>
      <c r="FG264" s="72"/>
      <c r="FH264" s="72"/>
      <c r="FI264" s="72"/>
      <c r="FJ264" s="72"/>
      <c r="FK264" s="72"/>
      <c r="FL264" s="72"/>
      <c r="FM264" s="72"/>
      <c r="FN264" s="72"/>
      <c r="FO264" s="72"/>
      <c r="FP264" s="72"/>
      <c r="FQ264" s="72"/>
      <c r="FR264" s="72"/>
      <c r="FS264" s="72"/>
      <c r="FT264" s="72"/>
      <c r="FU264" s="72"/>
      <c r="FV264" s="72"/>
    </row>
    <row r="265" spans="2:178" s="1" customFormat="1" ht="15.75">
      <c r="B265" s="41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c r="CR265" s="72"/>
      <c r="CS265" s="72"/>
      <c r="CT265" s="72"/>
      <c r="CU265" s="72"/>
      <c r="CV265" s="72"/>
      <c r="CW265" s="72"/>
      <c r="CX265" s="72"/>
      <c r="CY265" s="72"/>
      <c r="CZ265" s="72"/>
      <c r="DA265" s="72"/>
      <c r="DB265" s="72"/>
      <c r="DC265" s="72"/>
      <c r="DD265" s="72"/>
      <c r="DE265" s="72"/>
      <c r="DF265" s="72"/>
      <c r="DG265" s="72"/>
      <c r="DH265" s="72"/>
      <c r="DI265" s="72"/>
      <c r="DJ265" s="72"/>
      <c r="DK265" s="72"/>
      <c r="DL265" s="72"/>
      <c r="DM265" s="72"/>
      <c r="DN265" s="72"/>
      <c r="DO265" s="72"/>
      <c r="DP265" s="72"/>
      <c r="DQ265" s="72"/>
      <c r="DR265" s="72"/>
      <c r="DS265" s="72"/>
      <c r="DT265" s="72"/>
      <c r="DU265" s="72"/>
      <c r="DV265" s="72"/>
      <c r="DW265" s="72"/>
      <c r="DX265" s="72"/>
      <c r="DY265" s="72"/>
      <c r="DZ265" s="72"/>
      <c r="EA265" s="72"/>
      <c r="EB265" s="72"/>
      <c r="EC265" s="72"/>
      <c r="ED265" s="72"/>
      <c r="EE265" s="72"/>
      <c r="EF265" s="72"/>
      <c r="EG265" s="72"/>
      <c r="EH265" s="72"/>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2"/>
      <c r="FU265" s="72"/>
      <c r="FV265" s="72"/>
    </row>
    <row r="266" spans="2:178" s="1" customFormat="1" ht="15.75">
      <c r="B266" s="41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2"/>
      <c r="CA266" s="72"/>
      <c r="CB266" s="72"/>
      <c r="CC266" s="72"/>
      <c r="CD266" s="72"/>
      <c r="CE266" s="72"/>
      <c r="CF266" s="72"/>
      <c r="CG266" s="72"/>
      <c r="CH266" s="72"/>
      <c r="CI266" s="72"/>
      <c r="CJ266" s="72"/>
      <c r="CK266" s="72"/>
      <c r="CL266" s="72"/>
      <c r="CM266" s="72"/>
      <c r="CN266" s="72"/>
      <c r="CO266" s="72"/>
      <c r="CP266" s="72"/>
      <c r="CQ266" s="72"/>
      <c r="CR266" s="72"/>
      <c r="CS266" s="72"/>
      <c r="CT266" s="72"/>
      <c r="CU266" s="72"/>
      <c r="CV266" s="72"/>
      <c r="CW266" s="72"/>
      <c r="CX266" s="72"/>
      <c r="CY266" s="72"/>
      <c r="CZ266" s="72"/>
      <c r="DA266" s="72"/>
      <c r="DB266" s="72"/>
      <c r="DC266" s="72"/>
      <c r="DD266" s="72"/>
      <c r="DE266" s="72"/>
      <c r="DF266" s="72"/>
      <c r="DG266" s="72"/>
      <c r="DH266" s="72"/>
      <c r="DI266" s="72"/>
      <c r="DJ266" s="72"/>
      <c r="DK266" s="72"/>
      <c r="DL266" s="72"/>
      <c r="DM266" s="72"/>
      <c r="DN266" s="72"/>
      <c r="DO266" s="72"/>
      <c r="DP266" s="72"/>
      <c r="DQ266" s="72"/>
      <c r="DR266" s="72"/>
      <c r="DS266" s="72"/>
      <c r="DT266" s="72"/>
      <c r="DU266" s="72"/>
      <c r="DV266" s="72"/>
      <c r="DW266" s="72"/>
      <c r="DX266" s="72"/>
      <c r="DY266" s="72"/>
      <c r="DZ266" s="72"/>
      <c r="EA266" s="72"/>
      <c r="EB266" s="72"/>
      <c r="EC266" s="72"/>
      <c r="ED266" s="72"/>
      <c r="EE266" s="72"/>
      <c r="EF266" s="72"/>
      <c r="EG266" s="72"/>
      <c r="EH266" s="72"/>
      <c r="EI266" s="72"/>
      <c r="EJ266" s="72"/>
      <c r="EK266" s="72"/>
      <c r="EL266" s="72"/>
      <c r="EM266" s="72"/>
      <c r="EN266" s="72"/>
      <c r="EO266" s="72"/>
      <c r="EP266" s="72"/>
      <c r="EQ266" s="72"/>
      <c r="ER266" s="72"/>
      <c r="ES266" s="72"/>
      <c r="ET266" s="72"/>
      <c r="EU266" s="72"/>
      <c r="EV266" s="72"/>
      <c r="EW266" s="72"/>
      <c r="EX266" s="72"/>
      <c r="EY266" s="72"/>
      <c r="EZ266" s="72"/>
      <c r="FA266" s="72"/>
      <c r="FB266" s="72"/>
      <c r="FC266" s="72"/>
      <c r="FD266" s="72"/>
      <c r="FE266" s="72"/>
      <c r="FF266" s="72"/>
      <c r="FG266" s="72"/>
      <c r="FH266" s="72"/>
      <c r="FI266" s="72"/>
      <c r="FJ266" s="72"/>
      <c r="FK266" s="72"/>
      <c r="FL266" s="72"/>
      <c r="FM266" s="72"/>
      <c r="FN266" s="72"/>
      <c r="FO266" s="72"/>
      <c r="FP266" s="72"/>
      <c r="FQ266" s="72"/>
      <c r="FR266" s="72"/>
      <c r="FS266" s="72"/>
      <c r="FT266" s="72"/>
      <c r="FU266" s="72"/>
      <c r="FV266" s="72"/>
    </row>
    <row r="267" spans="2:178" s="1" customFormat="1" ht="15.75">
      <c r="B267" s="41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Q267" s="72"/>
      <c r="CR267" s="72"/>
      <c r="CS267" s="72"/>
      <c r="CT267" s="72"/>
      <c r="CU267" s="72"/>
      <c r="CV267" s="72"/>
      <c r="CW267" s="72"/>
      <c r="CX267" s="72"/>
      <c r="CY267" s="72"/>
      <c r="CZ267" s="72"/>
      <c r="DA267" s="72"/>
      <c r="DB267" s="72"/>
      <c r="DC267" s="72"/>
      <c r="DD267" s="72"/>
      <c r="DE267" s="72"/>
      <c r="DF267" s="72"/>
      <c r="DG267" s="72"/>
      <c r="DH267" s="72"/>
      <c r="DI267" s="72"/>
      <c r="DJ267" s="72"/>
      <c r="DK267" s="72"/>
      <c r="DL267" s="72"/>
      <c r="DM267" s="72"/>
      <c r="DN267" s="72"/>
      <c r="DO267" s="72"/>
      <c r="DP267" s="72"/>
      <c r="DQ267" s="72"/>
      <c r="DR267" s="72"/>
      <c r="DS267" s="72"/>
      <c r="DT267" s="72"/>
      <c r="DU267" s="72"/>
      <c r="DV267" s="72"/>
      <c r="DW267" s="72"/>
      <c r="DX267" s="72"/>
      <c r="DY267" s="72"/>
      <c r="DZ267" s="72"/>
      <c r="EA267" s="72"/>
      <c r="EB267" s="72"/>
      <c r="EC267" s="72"/>
      <c r="ED267" s="72"/>
      <c r="EE267" s="72"/>
      <c r="EF267" s="72"/>
      <c r="EG267" s="72"/>
      <c r="EH267" s="72"/>
      <c r="EI267" s="72"/>
      <c r="EJ267" s="72"/>
      <c r="EK267" s="72"/>
      <c r="EL267" s="72"/>
      <c r="EM267" s="72"/>
      <c r="EN267" s="72"/>
      <c r="EO267" s="72"/>
      <c r="EP267" s="72"/>
      <c r="EQ267" s="72"/>
      <c r="ER267" s="72"/>
      <c r="ES267" s="72"/>
      <c r="ET267" s="72"/>
      <c r="EU267" s="72"/>
      <c r="EV267" s="72"/>
      <c r="EW267" s="72"/>
      <c r="EX267" s="72"/>
      <c r="EY267" s="72"/>
      <c r="EZ267" s="72"/>
      <c r="FA267" s="72"/>
      <c r="FB267" s="72"/>
      <c r="FC267" s="72"/>
      <c r="FD267" s="72"/>
      <c r="FE267" s="72"/>
      <c r="FF267" s="72"/>
      <c r="FG267" s="72"/>
      <c r="FH267" s="72"/>
      <c r="FI267" s="72"/>
      <c r="FJ267" s="72"/>
      <c r="FK267" s="72"/>
      <c r="FL267" s="72"/>
      <c r="FM267" s="72"/>
      <c r="FN267" s="72"/>
      <c r="FO267" s="72"/>
      <c r="FP267" s="72"/>
      <c r="FQ267" s="72"/>
      <c r="FR267" s="72"/>
      <c r="FS267" s="72"/>
      <c r="FT267" s="72"/>
      <c r="FU267" s="72"/>
      <c r="FV267" s="72"/>
    </row>
    <row r="268" spans="2:178" s="1" customFormat="1" ht="15.75">
      <c r="B268" s="41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72"/>
      <c r="BY268" s="72"/>
      <c r="BZ268" s="72"/>
      <c r="CA268" s="72"/>
      <c r="CB268" s="72"/>
      <c r="CC268" s="72"/>
      <c r="CD268" s="72"/>
      <c r="CE268" s="72"/>
      <c r="CF268" s="72"/>
      <c r="CG268" s="72"/>
      <c r="CH268" s="72"/>
      <c r="CI268" s="72"/>
      <c r="CJ268" s="72"/>
      <c r="CK268" s="72"/>
      <c r="CL268" s="72"/>
      <c r="CM268" s="72"/>
      <c r="CN268" s="72"/>
      <c r="CO268" s="72"/>
      <c r="CP268" s="72"/>
      <c r="CQ268" s="72"/>
      <c r="CR268" s="72"/>
      <c r="CS268" s="72"/>
      <c r="CT268" s="72"/>
      <c r="CU268" s="72"/>
      <c r="CV268" s="72"/>
      <c r="CW268" s="72"/>
      <c r="CX268" s="72"/>
      <c r="CY268" s="72"/>
      <c r="CZ268" s="72"/>
      <c r="DA268" s="72"/>
      <c r="DB268" s="72"/>
      <c r="DC268" s="72"/>
      <c r="DD268" s="72"/>
      <c r="DE268" s="72"/>
      <c r="DF268" s="72"/>
      <c r="DG268" s="72"/>
      <c r="DH268" s="72"/>
      <c r="DI268" s="72"/>
      <c r="DJ268" s="72"/>
      <c r="DK268" s="72"/>
      <c r="DL268" s="72"/>
      <c r="DM268" s="72"/>
      <c r="DN268" s="72"/>
      <c r="DO268" s="72"/>
      <c r="DP268" s="72"/>
      <c r="DQ268" s="72"/>
      <c r="DR268" s="72"/>
      <c r="DS268" s="72"/>
      <c r="DT268" s="72"/>
      <c r="DU268" s="72"/>
      <c r="DV268" s="72"/>
      <c r="DW268" s="72"/>
      <c r="DX268" s="72"/>
      <c r="DY268" s="72"/>
      <c r="DZ268" s="72"/>
      <c r="EA268" s="72"/>
      <c r="EB268" s="72"/>
      <c r="EC268" s="72"/>
      <c r="ED268" s="72"/>
      <c r="EE268" s="72"/>
      <c r="EF268" s="72"/>
      <c r="EG268" s="72"/>
      <c r="EH268" s="72"/>
      <c r="EI268" s="72"/>
      <c r="EJ268" s="72"/>
      <c r="EK268" s="72"/>
      <c r="EL268" s="72"/>
      <c r="EM268" s="72"/>
      <c r="EN268" s="72"/>
      <c r="EO268" s="72"/>
      <c r="EP268" s="72"/>
      <c r="EQ268" s="72"/>
      <c r="ER268" s="72"/>
      <c r="ES268" s="72"/>
      <c r="ET268" s="72"/>
      <c r="EU268" s="72"/>
      <c r="EV268" s="72"/>
      <c r="EW268" s="72"/>
      <c r="EX268" s="72"/>
      <c r="EY268" s="72"/>
      <c r="EZ268" s="72"/>
      <c r="FA268" s="72"/>
      <c r="FB268" s="72"/>
      <c r="FC268" s="72"/>
      <c r="FD268" s="72"/>
      <c r="FE268" s="72"/>
      <c r="FF268" s="72"/>
      <c r="FG268" s="72"/>
      <c r="FH268" s="72"/>
      <c r="FI268" s="72"/>
      <c r="FJ268" s="72"/>
      <c r="FK268" s="72"/>
      <c r="FL268" s="72"/>
      <c r="FM268" s="72"/>
      <c r="FN268" s="72"/>
      <c r="FO268" s="72"/>
      <c r="FP268" s="72"/>
      <c r="FQ268" s="72"/>
      <c r="FR268" s="72"/>
      <c r="FS268" s="72"/>
      <c r="FT268" s="72"/>
      <c r="FU268" s="72"/>
      <c r="FV268" s="72"/>
    </row>
    <row r="269" spans="2:178" s="1" customFormat="1" ht="15.75">
      <c r="B269" s="41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c r="BV269" s="72"/>
      <c r="BW269" s="72"/>
      <c r="BX269" s="72"/>
      <c r="BY269" s="72"/>
      <c r="BZ269" s="72"/>
      <c r="CA269" s="72"/>
      <c r="CB269" s="72"/>
      <c r="CC269" s="72"/>
      <c r="CD269" s="72"/>
      <c r="CE269" s="72"/>
      <c r="CF269" s="72"/>
      <c r="CG269" s="72"/>
      <c r="CH269" s="72"/>
      <c r="CI269" s="72"/>
      <c r="CJ269" s="72"/>
      <c r="CK269" s="72"/>
      <c r="CL269" s="72"/>
      <c r="CM269" s="72"/>
      <c r="CN269" s="72"/>
      <c r="CO269" s="72"/>
      <c r="CP269" s="72"/>
      <c r="CQ269" s="72"/>
      <c r="CR269" s="72"/>
      <c r="CS269" s="72"/>
      <c r="CT269" s="72"/>
      <c r="CU269" s="72"/>
      <c r="CV269" s="72"/>
      <c r="CW269" s="72"/>
      <c r="CX269" s="72"/>
      <c r="CY269" s="72"/>
      <c r="CZ269" s="72"/>
      <c r="DA269" s="72"/>
      <c r="DB269" s="72"/>
      <c r="DC269" s="72"/>
      <c r="DD269" s="72"/>
      <c r="DE269" s="72"/>
      <c r="DF269" s="72"/>
      <c r="DG269" s="72"/>
      <c r="DH269" s="72"/>
      <c r="DI269" s="72"/>
      <c r="DJ269" s="72"/>
      <c r="DK269" s="72"/>
      <c r="DL269" s="72"/>
      <c r="DM269" s="72"/>
      <c r="DN269" s="72"/>
      <c r="DO269" s="72"/>
      <c r="DP269" s="72"/>
      <c r="DQ269" s="72"/>
      <c r="DR269" s="72"/>
      <c r="DS269" s="72"/>
      <c r="DT269" s="72"/>
      <c r="DU269" s="72"/>
      <c r="DV269" s="72"/>
      <c r="DW269" s="72"/>
      <c r="DX269" s="72"/>
      <c r="DY269" s="72"/>
      <c r="DZ269" s="72"/>
      <c r="EA269" s="72"/>
      <c r="EB269" s="72"/>
      <c r="EC269" s="72"/>
      <c r="ED269" s="72"/>
      <c r="EE269" s="72"/>
      <c r="EF269" s="72"/>
      <c r="EG269" s="72"/>
      <c r="EH269" s="72"/>
      <c r="EI269" s="72"/>
      <c r="EJ269" s="72"/>
      <c r="EK269" s="72"/>
      <c r="EL269" s="72"/>
      <c r="EM269" s="72"/>
      <c r="EN269" s="72"/>
      <c r="EO269" s="72"/>
      <c r="EP269" s="72"/>
      <c r="EQ269" s="72"/>
      <c r="ER269" s="72"/>
      <c r="ES269" s="72"/>
      <c r="ET269" s="72"/>
      <c r="EU269" s="72"/>
      <c r="EV269" s="72"/>
      <c r="EW269" s="72"/>
      <c r="EX269" s="72"/>
      <c r="EY269" s="72"/>
      <c r="EZ269" s="72"/>
      <c r="FA269" s="72"/>
      <c r="FB269" s="72"/>
      <c r="FC269" s="72"/>
      <c r="FD269" s="72"/>
      <c r="FE269" s="72"/>
      <c r="FF269" s="72"/>
      <c r="FG269" s="72"/>
      <c r="FH269" s="72"/>
      <c r="FI269" s="72"/>
      <c r="FJ269" s="72"/>
      <c r="FK269" s="72"/>
      <c r="FL269" s="72"/>
      <c r="FM269" s="72"/>
      <c r="FN269" s="72"/>
      <c r="FO269" s="72"/>
      <c r="FP269" s="72"/>
      <c r="FQ269" s="72"/>
      <c r="FR269" s="72"/>
      <c r="FS269" s="72"/>
      <c r="FT269" s="72"/>
      <c r="FU269" s="72"/>
      <c r="FV269" s="72"/>
    </row>
    <row r="270" spans="2:178" s="1" customFormat="1" ht="15.75">
      <c r="B270" s="41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c r="BO270" s="72"/>
      <c r="BP270" s="72"/>
      <c r="BQ270" s="72"/>
      <c r="BR270" s="72"/>
      <c r="BS270" s="72"/>
      <c r="BT270" s="72"/>
      <c r="BU270" s="72"/>
      <c r="BV270" s="72"/>
      <c r="BW270" s="72"/>
      <c r="BX270" s="72"/>
      <c r="BY270" s="72"/>
      <c r="BZ270" s="72"/>
      <c r="CA270" s="72"/>
      <c r="CB270" s="72"/>
      <c r="CC270" s="72"/>
      <c r="CD270" s="72"/>
      <c r="CE270" s="72"/>
      <c r="CF270" s="72"/>
      <c r="CG270" s="72"/>
      <c r="CH270" s="72"/>
      <c r="CI270" s="72"/>
      <c r="CJ270" s="72"/>
      <c r="CK270" s="72"/>
      <c r="CL270" s="72"/>
      <c r="CM270" s="72"/>
      <c r="CN270" s="72"/>
      <c r="CO270" s="72"/>
      <c r="CP270" s="72"/>
      <c r="CQ270" s="72"/>
      <c r="CR270" s="72"/>
      <c r="CS270" s="72"/>
      <c r="CT270" s="72"/>
      <c r="CU270" s="72"/>
      <c r="CV270" s="72"/>
      <c r="CW270" s="72"/>
      <c r="CX270" s="72"/>
      <c r="CY270" s="72"/>
      <c r="CZ270" s="72"/>
      <c r="DA270" s="72"/>
      <c r="DB270" s="72"/>
      <c r="DC270" s="72"/>
      <c r="DD270" s="72"/>
      <c r="DE270" s="72"/>
      <c r="DF270" s="72"/>
      <c r="DG270" s="72"/>
      <c r="DH270" s="72"/>
      <c r="DI270" s="72"/>
      <c r="DJ270" s="72"/>
      <c r="DK270" s="72"/>
      <c r="DL270" s="72"/>
      <c r="DM270" s="72"/>
      <c r="DN270" s="72"/>
      <c r="DO270" s="72"/>
      <c r="DP270" s="72"/>
      <c r="DQ270" s="72"/>
      <c r="DR270" s="72"/>
      <c r="DS270" s="72"/>
      <c r="DT270" s="72"/>
      <c r="DU270" s="72"/>
      <c r="DV270" s="72"/>
      <c r="DW270" s="72"/>
      <c r="DX270" s="72"/>
      <c r="DY270" s="72"/>
      <c r="DZ270" s="72"/>
      <c r="EA270" s="72"/>
      <c r="EB270" s="72"/>
      <c r="EC270" s="72"/>
      <c r="ED270" s="72"/>
      <c r="EE270" s="72"/>
      <c r="EF270" s="72"/>
      <c r="EG270" s="72"/>
      <c r="EH270" s="72"/>
      <c r="EI270" s="72"/>
      <c r="EJ270" s="72"/>
      <c r="EK270" s="72"/>
      <c r="EL270" s="72"/>
      <c r="EM270" s="72"/>
      <c r="EN270" s="72"/>
      <c r="EO270" s="72"/>
      <c r="EP270" s="72"/>
      <c r="EQ270" s="72"/>
      <c r="ER270" s="72"/>
      <c r="ES270" s="72"/>
      <c r="ET270" s="72"/>
      <c r="EU270" s="72"/>
      <c r="EV270" s="72"/>
      <c r="EW270" s="72"/>
      <c r="EX270" s="72"/>
      <c r="EY270" s="72"/>
      <c r="EZ270" s="72"/>
      <c r="FA270" s="72"/>
      <c r="FB270" s="72"/>
      <c r="FC270" s="72"/>
      <c r="FD270" s="72"/>
      <c r="FE270" s="72"/>
      <c r="FF270" s="72"/>
      <c r="FG270" s="72"/>
      <c r="FH270" s="72"/>
      <c r="FI270" s="72"/>
      <c r="FJ270" s="72"/>
      <c r="FK270" s="72"/>
      <c r="FL270" s="72"/>
      <c r="FM270" s="72"/>
      <c r="FN270" s="72"/>
      <c r="FO270" s="72"/>
      <c r="FP270" s="72"/>
      <c r="FQ270" s="72"/>
      <c r="FR270" s="72"/>
      <c r="FS270" s="72"/>
      <c r="FT270" s="72"/>
      <c r="FU270" s="72"/>
      <c r="FV270" s="72"/>
    </row>
    <row r="271" spans="2:178" s="1" customFormat="1" ht="15.75">
      <c r="B271" s="41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c r="CR271" s="72"/>
      <c r="CS271" s="72"/>
      <c r="CT271" s="72"/>
      <c r="CU271" s="72"/>
      <c r="CV271" s="72"/>
      <c r="CW271" s="72"/>
      <c r="CX271" s="72"/>
      <c r="CY271" s="72"/>
      <c r="CZ271" s="72"/>
      <c r="DA271" s="72"/>
      <c r="DB271" s="72"/>
      <c r="DC271" s="72"/>
      <c r="DD271" s="72"/>
      <c r="DE271" s="72"/>
      <c r="DF271" s="72"/>
      <c r="DG271" s="72"/>
      <c r="DH271" s="72"/>
      <c r="DI271" s="72"/>
      <c r="DJ271" s="72"/>
      <c r="DK271" s="72"/>
      <c r="DL271" s="72"/>
      <c r="DM271" s="72"/>
      <c r="DN271" s="72"/>
      <c r="DO271" s="72"/>
      <c r="DP271" s="72"/>
      <c r="DQ271" s="72"/>
      <c r="DR271" s="72"/>
      <c r="DS271" s="72"/>
      <c r="DT271" s="72"/>
      <c r="DU271" s="72"/>
      <c r="DV271" s="72"/>
      <c r="DW271" s="72"/>
      <c r="DX271" s="72"/>
      <c r="DY271" s="72"/>
      <c r="DZ271" s="72"/>
      <c r="EA271" s="72"/>
      <c r="EB271" s="72"/>
      <c r="EC271" s="72"/>
      <c r="ED271" s="72"/>
      <c r="EE271" s="72"/>
      <c r="EF271" s="72"/>
      <c r="EG271" s="72"/>
      <c r="EH271" s="72"/>
      <c r="EI271" s="72"/>
      <c r="EJ271" s="72"/>
      <c r="EK271" s="72"/>
      <c r="EL271" s="72"/>
      <c r="EM271" s="72"/>
      <c r="EN271" s="72"/>
      <c r="EO271" s="72"/>
      <c r="EP271" s="72"/>
      <c r="EQ271" s="72"/>
      <c r="ER271" s="72"/>
      <c r="ES271" s="72"/>
      <c r="ET271" s="72"/>
      <c r="EU271" s="72"/>
      <c r="EV271" s="72"/>
      <c r="EW271" s="72"/>
      <c r="EX271" s="72"/>
      <c r="EY271" s="72"/>
      <c r="EZ271" s="72"/>
      <c r="FA271" s="72"/>
      <c r="FB271" s="72"/>
      <c r="FC271" s="72"/>
      <c r="FD271" s="72"/>
      <c r="FE271" s="72"/>
      <c r="FF271" s="72"/>
      <c r="FG271" s="72"/>
      <c r="FH271" s="72"/>
      <c r="FI271" s="72"/>
      <c r="FJ271" s="72"/>
      <c r="FK271" s="72"/>
      <c r="FL271" s="72"/>
      <c r="FM271" s="72"/>
      <c r="FN271" s="72"/>
      <c r="FO271" s="72"/>
      <c r="FP271" s="72"/>
      <c r="FQ271" s="72"/>
      <c r="FR271" s="72"/>
      <c r="FS271" s="72"/>
      <c r="FT271" s="72"/>
      <c r="FU271" s="72"/>
      <c r="FV271" s="72"/>
    </row>
    <row r="272" spans="2:178" s="1" customFormat="1" ht="15.75">
      <c r="B272" s="41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c r="BV272" s="72"/>
      <c r="BW272" s="72"/>
      <c r="BX272" s="72"/>
      <c r="BY272" s="72"/>
      <c r="BZ272" s="72"/>
      <c r="CA272" s="72"/>
      <c r="CB272" s="72"/>
      <c r="CC272" s="72"/>
      <c r="CD272" s="72"/>
      <c r="CE272" s="72"/>
      <c r="CF272" s="72"/>
      <c r="CG272" s="72"/>
      <c r="CH272" s="72"/>
      <c r="CI272" s="72"/>
      <c r="CJ272" s="72"/>
      <c r="CK272" s="72"/>
      <c r="CL272" s="72"/>
      <c r="CM272" s="72"/>
      <c r="CN272" s="72"/>
      <c r="CO272" s="72"/>
      <c r="CP272" s="72"/>
      <c r="CQ272" s="72"/>
      <c r="CR272" s="72"/>
      <c r="CS272" s="72"/>
      <c r="CT272" s="72"/>
      <c r="CU272" s="72"/>
      <c r="CV272" s="72"/>
      <c r="CW272" s="72"/>
      <c r="CX272" s="72"/>
      <c r="CY272" s="72"/>
      <c r="CZ272" s="72"/>
      <c r="DA272" s="72"/>
      <c r="DB272" s="72"/>
      <c r="DC272" s="72"/>
      <c r="DD272" s="72"/>
      <c r="DE272" s="72"/>
      <c r="DF272" s="72"/>
      <c r="DG272" s="72"/>
      <c r="DH272" s="72"/>
      <c r="DI272" s="72"/>
      <c r="DJ272" s="72"/>
      <c r="DK272" s="72"/>
      <c r="DL272" s="72"/>
      <c r="DM272" s="72"/>
      <c r="DN272" s="72"/>
      <c r="DO272" s="72"/>
      <c r="DP272" s="72"/>
      <c r="DQ272" s="72"/>
      <c r="DR272" s="72"/>
      <c r="DS272" s="72"/>
      <c r="DT272" s="72"/>
      <c r="DU272" s="72"/>
      <c r="DV272" s="72"/>
      <c r="DW272" s="72"/>
      <c r="DX272" s="72"/>
      <c r="DY272" s="72"/>
      <c r="DZ272" s="72"/>
      <c r="EA272" s="72"/>
      <c r="EB272" s="72"/>
      <c r="EC272" s="72"/>
      <c r="ED272" s="72"/>
      <c r="EE272" s="72"/>
      <c r="EF272" s="72"/>
      <c r="EG272" s="72"/>
      <c r="EH272" s="72"/>
      <c r="EI272" s="72"/>
      <c r="EJ272" s="72"/>
      <c r="EK272" s="72"/>
      <c r="EL272" s="72"/>
      <c r="EM272" s="72"/>
      <c r="EN272" s="72"/>
      <c r="EO272" s="72"/>
      <c r="EP272" s="72"/>
      <c r="EQ272" s="72"/>
      <c r="ER272" s="72"/>
      <c r="ES272" s="72"/>
      <c r="ET272" s="72"/>
      <c r="EU272" s="72"/>
      <c r="EV272" s="72"/>
      <c r="EW272" s="72"/>
      <c r="EX272" s="72"/>
      <c r="EY272" s="72"/>
      <c r="EZ272" s="72"/>
      <c r="FA272" s="72"/>
      <c r="FB272" s="72"/>
      <c r="FC272" s="72"/>
      <c r="FD272" s="72"/>
      <c r="FE272" s="72"/>
      <c r="FF272" s="72"/>
      <c r="FG272" s="72"/>
      <c r="FH272" s="72"/>
      <c r="FI272" s="72"/>
      <c r="FJ272" s="72"/>
      <c r="FK272" s="72"/>
      <c r="FL272" s="72"/>
      <c r="FM272" s="72"/>
      <c r="FN272" s="72"/>
      <c r="FO272" s="72"/>
      <c r="FP272" s="72"/>
      <c r="FQ272" s="72"/>
      <c r="FR272" s="72"/>
      <c r="FS272" s="72"/>
      <c r="FT272" s="72"/>
      <c r="FU272" s="72"/>
      <c r="FV272" s="72"/>
    </row>
    <row r="273" spans="2:178" s="1" customFormat="1" ht="15.75">
      <c r="B273" s="41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c r="BV273" s="72"/>
      <c r="BW273" s="72"/>
      <c r="BX273" s="72"/>
      <c r="BY273" s="72"/>
      <c r="BZ273" s="72"/>
      <c r="CA273" s="72"/>
      <c r="CB273" s="72"/>
      <c r="CC273" s="72"/>
      <c r="CD273" s="72"/>
      <c r="CE273" s="72"/>
      <c r="CF273" s="72"/>
      <c r="CG273" s="72"/>
      <c r="CH273" s="72"/>
      <c r="CI273" s="72"/>
      <c r="CJ273" s="72"/>
      <c r="CK273" s="72"/>
      <c r="CL273" s="72"/>
      <c r="CM273" s="72"/>
      <c r="CN273" s="72"/>
      <c r="CO273" s="72"/>
      <c r="CP273" s="72"/>
      <c r="CQ273" s="72"/>
      <c r="CR273" s="72"/>
      <c r="CS273" s="72"/>
      <c r="CT273" s="72"/>
      <c r="CU273" s="72"/>
      <c r="CV273" s="72"/>
      <c r="CW273" s="72"/>
      <c r="CX273" s="72"/>
      <c r="CY273" s="72"/>
      <c r="CZ273" s="72"/>
      <c r="DA273" s="72"/>
      <c r="DB273" s="72"/>
      <c r="DC273" s="72"/>
      <c r="DD273" s="72"/>
      <c r="DE273" s="72"/>
      <c r="DF273" s="72"/>
      <c r="DG273" s="72"/>
      <c r="DH273" s="72"/>
      <c r="DI273" s="72"/>
      <c r="DJ273" s="72"/>
      <c r="DK273" s="72"/>
      <c r="DL273" s="72"/>
      <c r="DM273" s="72"/>
      <c r="DN273" s="72"/>
      <c r="DO273" s="72"/>
      <c r="DP273" s="72"/>
      <c r="DQ273" s="72"/>
      <c r="DR273" s="72"/>
      <c r="DS273" s="72"/>
      <c r="DT273" s="72"/>
      <c r="DU273" s="72"/>
      <c r="DV273" s="72"/>
      <c r="DW273" s="72"/>
      <c r="DX273" s="72"/>
      <c r="DY273" s="72"/>
      <c r="DZ273" s="72"/>
      <c r="EA273" s="72"/>
      <c r="EB273" s="72"/>
      <c r="EC273" s="72"/>
      <c r="ED273" s="72"/>
      <c r="EE273" s="72"/>
      <c r="EF273" s="72"/>
      <c r="EG273" s="72"/>
      <c r="EH273" s="72"/>
      <c r="EI273" s="72"/>
      <c r="EJ273" s="72"/>
      <c r="EK273" s="72"/>
      <c r="EL273" s="72"/>
      <c r="EM273" s="72"/>
      <c r="EN273" s="72"/>
      <c r="EO273" s="72"/>
      <c r="EP273" s="72"/>
      <c r="EQ273" s="72"/>
      <c r="ER273" s="72"/>
      <c r="ES273" s="72"/>
      <c r="ET273" s="72"/>
      <c r="EU273" s="72"/>
      <c r="EV273" s="72"/>
      <c r="EW273" s="72"/>
      <c r="EX273" s="72"/>
      <c r="EY273" s="72"/>
      <c r="EZ273" s="72"/>
      <c r="FA273" s="72"/>
      <c r="FB273" s="72"/>
      <c r="FC273" s="72"/>
      <c r="FD273" s="72"/>
      <c r="FE273" s="72"/>
      <c r="FF273" s="72"/>
      <c r="FG273" s="72"/>
      <c r="FH273" s="72"/>
      <c r="FI273" s="72"/>
      <c r="FJ273" s="72"/>
      <c r="FK273" s="72"/>
      <c r="FL273" s="72"/>
      <c r="FM273" s="72"/>
      <c r="FN273" s="72"/>
      <c r="FO273" s="72"/>
      <c r="FP273" s="72"/>
      <c r="FQ273" s="72"/>
      <c r="FR273" s="72"/>
      <c r="FS273" s="72"/>
      <c r="FT273" s="72"/>
      <c r="FU273" s="72"/>
      <c r="FV273" s="72"/>
    </row>
    <row r="274" spans="2:178" s="1" customFormat="1" ht="15.75">
      <c r="B274" s="41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72"/>
      <c r="CA274" s="72"/>
      <c r="CB274" s="72"/>
      <c r="CC274" s="72"/>
      <c r="CD274" s="72"/>
      <c r="CE274" s="72"/>
      <c r="CF274" s="72"/>
      <c r="CG274" s="72"/>
      <c r="CH274" s="72"/>
      <c r="CI274" s="72"/>
      <c r="CJ274" s="72"/>
      <c r="CK274" s="72"/>
      <c r="CL274" s="72"/>
      <c r="CM274" s="72"/>
      <c r="CN274" s="72"/>
      <c r="CO274" s="72"/>
      <c r="CP274" s="72"/>
      <c r="CQ274" s="72"/>
      <c r="CR274" s="72"/>
      <c r="CS274" s="72"/>
      <c r="CT274" s="72"/>
      <c r="CU274" s="72"/>
      <c r="CV274" s="72"/>
      <c r="CW274" s="72"/>
      <c r="CX274" s="72"/>
      <c r="CY274" s="72"/>
      <c r="CZ274" s="72"/>
      <c r="DA274" s="72"/>
      <c r="DB274" s="72"/>
      <c r="DC274" s="72"/>
      <c r="DD274" s="72"/>
      <c r="DE274" s="72"/>
      <c r="DF274" s="72"/>
      <c r="DG274" s="72"/>
      <c r="DH274" s="72"/>
      <c r="DI274" s="72"/>
      <c r="DJ274" s="72"/>
      <c r="DK274" s="72"/>
      <c r="DL274" s="72"/>
      <c r="DM274" s="72"/>
      <c r="DN274" s="72"/>
      <c r="DO274" s="72"/>
      <c r="DP274" s="72"/>
      <c r="DQ274" s="72"/>
      <c r="DR274" s="72"/>
      <c r="DS274" s="72"/>
      <c r="DT274" s="72"/>
      <c r="DU274" s="72"/>
      <c r="DV274" s="72"/>
      <c r="DW274" s="72"/>
      <c r="DX274" s="72"/>
      <c r="DY274" s="72"/>
      <c r="DZ274" s="72"/>
      <c r="EA274" s="72"/>
      <c r="EB274" s="72"/>
      <c r="EC274" s="72"/>
      <c r="ED274" s="72"/>
      <c r="EE274" s="72"/>
      <c r="EF274" s="72"/>
      <c r="EG274" s="72"/>
      <c r="EH274" s="72"/>
      <c r="EI274" s="72"/>
      <c r="EJ274" s="72"/>
      <c r="EK274" s="72"/>
      <c r="EL274" s="72"/>
      <c r="EM274" s="72"/>
      <c r="EN274" s="72"/>
      <c r="EO274" s="72"/>
      <c r="EP274" s="72"/>
      <c r="EQ274" s="72"/>
      <c r="ER274" s="72"/>
      <c r="ES274" s="72"/>
      <c r="ET274" s="72"/>
      <c r="EU274" s="72"/>
      <c r="EV274" s="72"/>
      <c r="EW274" s="72"/>
      <c r="EX274" s="72"/>
      <c r="EY274" s="72"/>
      <c r="EZ274" s="72"/>
      <c r="FA274" s="72"/>
      <c r="FB274" s="72"/>
      <c r="FC274" s="72"/>
      <c r="FD274" s="72"/>
      <c r="FE274" s="72"/>
      <c r="FF274" s="72"/>
      <c r="FG274" s="72"/>
      <c r="FH274" s="72"/>
      <c r="FI274" s="72"/>
      <c r="FJ274" s="72"/>
      <c r="FK274" s="72"/>
      <c r="FL274" s="72"/>
      <c r="FM274" s="72"/>
      <c r="FN274" s="72"/>
      <c r="FO274" s="72"/>
      <c r="FP274" s="72"/>
      <c r="FQ274" s="72"/>
      <c r="FR274" s="72"/>
      <c r="FS274" s="72"/>
      <c r="FT274" s="72"/>
      <c r="FU274" s="72"/>
      <c r="FV274" s="72"/>
    </row>
    <row r="275" spans="2:178" s="1" customFormat="1" ht="15.75">
      <c r="B275" s="41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c r="CR275" s="72"/>
      <c r="CS275" s="72"/>
      <c r="CT275" s="72"/>
      <c r="CU275" s="72"/>
      <c r="CV275" s="72"/>
      <c r="CW275" s="72"/>
      <c r="CX275" s="72"/>
      <c r="CY275" s="72"/>
      <c r="CZ275" s="72"/>
      <c r="DA275" s="72"/>
      <c r="DB275" s="72"/>
      <c r="DC275" s="72"/>
      <c r="DD275" s="72"/>
      <c r="DE275" s="72"/>
      <c r="DF275" s="72"/>
      <c r="DG275" s="72"/>
      <c r="DH275" s="72"/>
      <c r="DI275" s="72"/>
      <c r="DJ275" s="72"/>
      <c r="DK275" s="72"/>
      <c r="DL275" s="72"/>
      <c r="DM275" s="72"/>
      <c r="DN275" s="72"/>
      <c r="DO275" s="72"/>
      <c r="DP275" s="72"/>
      <c r="DQ275" s="72"/>
      <c r="DR275" s="72"/>
      <c r="DS275" s="72"/>
      <c r="DT275" s="72"/>
      <c r="DU275" s="72"/>
      <c r="DV275" s="72"/>
      <c r="DW275" s="72"/>
      <c r="DX275" s="72"/>
      <c r="DY275" s="72"/>
      <c r="DZ275" s="72"/>
      <c r="EA275" s="72"/>
      <c r="EB275" s="72"/>
      <c r="EC275" s="72"/>
      <c r="ED275" s="72"/>
      <c r="EE275" s="72"/>
      <c r="EF275" s="72"/>
      <c r="EG275" s="72"/>
      <c r="EH275" s="72"/>
      <c r="EI275" s="72"/>
      <c r="EJ275" s="72"/>
      <c r="EK275" s="72"/>
      <c r="EL275" s="72"/>
      <c r="EM275" s="72"/>
      <c r="EN275" s="72"/>
      <c r="EO275" s="72"/>
      <c r="EP275" s="72"/>
      <c r="EQ275" s="72"/>
      <c r="ER275" s="72"/>
      <c r="ES275" s="72"/>
      <c r="ET275" s="72"/>
      <c r="EU275" s="72"/>
      <c r="EV275" s="72"/>
      <c r="EW275" s="72"/>
      <c r="EX275" s="72"/>
      <c r="EY275" s="72"/>
      <c r="EZ275" s="72"/>
      <c r="FA275" s="72"/>
      <c r="FB275" s="72"/>
      <c r="FC275" s="72"/>
      <c r="FD275" s="72"/>
      <c r="FE275" s="72"/>
      <c r="FF275" s="72"/>
      <c r="FG275" s="72"/>
      <c r="FH275" s="72"/>
      <c r="FI275" s="72"/>
      <c r="FJ275" s="72"/>
      <c r="FK275" s="72"/>
      <c r="FL275" s="72"/>
      <c r="FM275" s="72"/>
      <c r="FN275" s="72"/>
      <c r="FO275" s="72"/>
      <c r="FP275" s="72"/>
      <c r="FQ275" s="72"/>
      <c r="FR275" s="72"/>
      <c r="FS275" s="72"/>
      <c r="FT275" s="72"/>
      <c r="FU275" s="72"/>
      <c r="FV275" s="72"/>
    </row>
    <row r="276" spans="2:178" s="1" customFormat="1" ht="15.75">
      <c r="B276" s="41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c r="CI276" s="72"/>
      <c r="CJ276" s="72"/>
      <c r="CK276" s="72"/>
      <c r="CL276" s="72"/>
      <c r="CM276" s="72"/>
      <c r="CN276" s="72"/>
      <c r="CO276" s="72"/>
      <c r="CP276" s="72"/>
      <c r="CQ276" s="72"/>
      <c r="CR276" s="72"/>
      <c r="CS276" s="72"/>
      <c r="CT276" s="72"/>
      <c r="CU276" s="72"/>
      <c r="CV276" s="72"/>
      <c r="CW276" s="72"/>
      <c r="CX276" s="72"/>
      <c r="CY276" s="72"/>
      <c r="CZ276" s="72"/>
      <c r="DA276" s="72"/>
      <c r="DB276" s="72"/>
      <c r="DC276" s="72"/>
      <c r="DD276" s="72"/>
      <c r="DE276" s="72"/>
      <c r="DF276" s="72"/>
      <c r="DG276" s="72"/>
      <c r="DH276" s="72"/>
      <c r="DI276" s="72"/>
      <c r="DJ276" s="72"/>
      <c r="DK276" s="72"/>
      <c r="DL276" s="72"/>
      <c r="DM276" s="72"/>
      <c r="DN276" s="72"/>
      <c r="DO276" s="72"/>
      <c r="DP276" s="72"/>
      <c r="DQ276" s="72"/>
      <c r="DR276" s="72"/>
      <c r="DS276" s="72"/>
      <c r="DT276" s="72"/>
      <c r="DU276" s="72"/>
      <c r="DV276" s="72"/>
      <c r="DW276" s="72"/>
      <c r="DX276" s="72"/>
      <c r="DY276" s="72"/>
      <c r="DZ276" s="72"/>
      <c r="EA276" s="72"/>
      <c r="EB276" s="72"/>
      <c r="EC276" s="72"/>
      <c r="ED276" s="72"/>
      <c r="EE276" s="72"/>
      <c r="EF276" s="72"/>
      <c r="EG276" s="72"/>
      <c r="EH276" s="72"/>
      <c r="EI276" s="72"/>
      <c r="EJ276" s="72"/>
      <c r="EK276" s="72"/>
      <c r="EL276" s="72"/>
      <c r="EM276" s="72"/>
      <c r="EN276" s="72"/>
      <c r="EO276" s="72"/>
      <c r="EP276" s="72"/>
      <c r="EQ276" s="72"/>
      <c r="ER276" s="72"/>
      <c r="ES276" s="72"/>
      <c r="ET276" s="72"/>
      <c r="EU276" s="72"/>
      <c r="EV276" s="72"/>
      <c r="EW276" s="72"/>
      <c r="EX276" s="72"/>
      <c r="EY276" s="72"/>
      <c r="EZ276" s="72"/>
      <c r="FA276" s="72"/>
      <c r="FB276" s="72"/>
      <c r="FC276" s="72"/>
      <c r="FD276" s="72"/>
      <c r="FE276" s="72"/>
      <c r="FF276" s="72"/>
      <c r="FG276" s="72"/>
      <c r="FH276" s="72"/>
      <c r="FI276" s="72"/>
      <c r="FJ276" s="72"/>
      <c r="FK276" s="72"/>
      <c r="FL276" s="72"/>
      <c r="FM276" s="72"/>
      <c r="FN276" s="72"/>
      <c r="FO276" s="72"/>
      <c r="FP276" s="72"/>
      <c r="FQ276" s="72"/>
      <c r="FR276" s="72"/>
      <c r="FS276" s="72"/>
      <c r="FT276" s="72"/>
      <c r="FU276" s="72"/>
      <c r="FV276" s="72"/>
    </row>
    <row r="277" spans="2:178" s="1" customFormat="1" ht="15.75">
      <c r="B277" s="41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c r="CI277" s="72"/>
      <c r="CJ277" s="72"/>
      <c r="CK277" s="72"/>
      <c r="CL277" s="72"/>
      <c r="CM277" s="72"/>
      <c r="CN277" s="72"/>
      <c r="CO277" s="72"/>
      <c r="CP277" s="72"/>
      <c r="CQ277" s="72"/>
      <c r="CR277" s="72"/>
      <c r="CS277" s="72"/>
      <c r="CT277" s="72"/>
      <c r="CU277" s="72"/>
      <c r="CV277" s="72"/>
      <c r="CW277" s="72"/>
      <c r="CX277" s="72"/>
      <c r="CY277" s="72"/>
      <c r="CZ277" s="72"/>
      <c r="DA277" s="72"/>
      <c r="DB277" s="72"/>
      <c r="DC277" s="72"/>
      <c r="DD277" s="72"/>
      <c r="DE277" s="72"/>
      <c r="DF277" s="72"/>
      <c r="DG277" s="72"/>
      <c r="DH277" s="72"/>
      <c r="DI277" s="72"/>
      <c r="DJ277" s="72"/>
      <c r="DK277" s="72"/>
      <c r="DL277" s="72"/>
      <c r="DM277" s="72"/>
      <c r="DN277" s="72"/>
      <c r="DO277" s="72"/>
      <c r="DP277" s="72"/>
      <c r="DQ277" s="72"/>
      <c r="DR277" s="72"/>
      <c r="DS277" s="72"/>
      <c r="DT277" s="72"/>
      <c r="DU277" s="72"/>
      <c r="DV277" s="72"/>
      <c r="DW277" s="72"/>
      <c r="DX277" s="72"/>
      <c r="DY277" s="72"/>
      <c r="DZ277" s="72"/>
      <c r="EA277" s="72"/>
      <c r="EB277" s="72"/>
      <c r="EC277" s="72"/>
      <c r="ED277" s="72"/>
      <c r="EE277" s="72"/>
      <c r="EF277" s="72"/>
      <c r="EG277" s="72"/>
      <c r="EH277" s="72"/>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2"/>
      <c r="FU277" s="72"/>
      <c r="FV277" s="72"/>
    </row>
    <row r="278" spans="2:178" s="1" customFormat="1" ht="15.75">
      <c r="B278" s="41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72"/>
      <c r="BZ278" s="72"/>
      <c r="CA278" s="72"/>
      <c r="CB278" s="72"/>
      <c r="CC278" s="72"/>
      <c r="CD278" s="72"/>
      <c r="CE278" s="72"/>
      <c r="CF278" s="72"/>
      <c r="CG278" s="72"/>
      <c r="CH278" s="72"/>
      <c r="CI278" s="72"/>
      <c r="CJ278" s="72"/>
      <c r="CK278" s="72"/>
      <c r="CL278" s="72"/>
      <c r="CM278" s="72"/>
      <c r="CN278" s="72"/>
      <c r="CO278" s="72"/>
      <c r="CP278" s="72"/>
      <c r="CQ278" s="72"/>
      <c r="CR278" s="72"/>
      <c r="CS278" s="72"/>
      <c r="CT278" s="72"/>
      <c r="CU278" s="72"/>
      <c r="CV278" s="72"/>
      <c r="CW278" s="72"/>
      <c r="CX278" s="72"/>
      <c r="CY278" s="72"/>
      <c r="CZ278" s="72"/>
      <c r="DA278" s="72"/>
      <c r="DB278" s="72"/>
      <c r="DC278" s="72"/>
      <c r="DD278" s="72"/>
      <c r="DE278" s="72"/>
      <c r="DF278" s="72"/>
      <c r="DG278" s="72"/>
      <c r="DH278" s="72"/>
      <c r="DI278" s="72"/>
      <c r="DJ278" s="72"/>
      <c r="DK278" s="72"/>
      <c r="DL278" s="72"/>
      <c r="DM278" s="72"/>
      <c r="DN278" s="72"/>
      <c r="DO278" s="72"/>
      <c r="DP278" s="72"/>
      <c r="DQ278" s="72"/>
      <c r="DR278" s="72"/>
      <c r="DS278" s="72"/>
      <c r="DT278" s="72"/>
      <c r="DU278" s="72"/>
      <c r="DV278" s="72"/>
      <c r="DW278" s="72"/>
      <c r="DX278" s="72"/>
      <c r="DY278" s="72"/>
      <c r="DZ278" s="72"/>
      <c r="EA278" s="72"/>
      <c r="EB278" s="72"/>
      <c r="EC278" s="72"/>
      <c r="ED278" s="72"/>
      <c r="EE278" s="72"/>
      <c r="EF278" s="72"/>
      <c r="EG278" s="72"/>
      <c r="EH278" s="72"/>
      <c r="EI278" s="72"/>
      <c r="EJ278" s="72"/>
      <c r="EK278" s="72"/>
      <c r="EL278" s="72"/>
      <c r="EM278" s="72"/>
      <c r="EN278" s="72"/>
      <c r="EO278" s="72"/>
      <c r="EP278" s="72"/>
      <c r="EQ278" s="72"/>
      <c r="ER278" s="72"/>
      <c r="ES278" s="72"/>
      <c r="ET278" s="72"/>
      <c r="EU278" s="72"/>
      <c r="EV278" s="72"/>
      <c r="EW278" s="72"/>
      <c r="EX278" s="72"/>
      <c r="EY278" s="72"/>
      <c r="EZ278" s="72"/>
      <c r="FA278" s="72"/>
      <c r="FB278" s="72"/>
      <c r="FC278" s="72"/>
      <c r="FD278" s="72"/>
      <c r="FE278" s="72"/>
      <c r="FF278" s="72"/>
      <c r="FG278" s="72"/>
      <c r="FH278" s="72"/>
      <c r="FI278" s="72"/>
      <c r="FJ278" s="72"/>
      <c r="FK278" s="72"/>
      <c r="FL278" s="72"/>
      <c r="FM278" s="72"/>
      <c r="FN278" s="72"/>
      <c r="FO278" s="72"/>
      <c r="FP278" s="72"/>
      <c r="FQ278" s="72"/>
      <c r="FR278" s="72"/>
      <c r="FS278" s="72"/>
      <c r="FT278" s="72"/>
      <c r="FU278" s="72"/>
      <c r="FV278" s="72"/>
    </row>
    <row r="279" spans="2:178" s="1" customFormat="1" ht="15.75">
      <c r="B279" s="41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72"/>
      <c r="BZ279" s="72"/>
      <c r="CA279" s="72"/>
      <c r="CB279" s="72"/>
      <c r="CC279" s="72"/>
      <c r="CD279" s="72"/>
      <c r="CE279" s="72"/>
      <c r="CF279" s="72"/>
      <c r="CG279" s="72"/>
      <c r="CH279" s="72"/>
      <c r="CI279" s="72"/>
      <c r="CJ279" s="72"/>
      <c r="CK279" s="72"/>
      <c r="CL279" s="72"/>
      <c r="CM279" s="72"/>
      <c r="CN279" s="72"/>
      <c r="CO279" s="72"/>
      <c r="CP279" s="72"/>
      <c r="CQ279" s="72"/>
      <c r="CR279" s="72"/>
      <c r="CS279" s="72"/>
      <c r="CT279" s="72"/>
      <c r="CU279" s="72"/>
      <c r="CV279" s="72"/>
      <c r="CW279" s="72"/>
      <c r="CX279" s="72"/>
      <c r="CY279" s="72"/>
      <c r="CZ279" s="72"/>
      <c r="DA279" s="72"/>
      <c r="DB279" s="72"/>
      <c r="DC279" s="72"/>
      <c r="DD279" s="72"/>
      <c r="DE279" s="72"/>
      <c r="DF279" s="72"/>
      <c r="DG279" s="72"/>
      <c r="DH279" s="72"/>
      <c r="DI279" s="72"/>
      <c r="DJ279" s="72"/>
      <c r="DK279" s="72"/>
      <c r="DL279" s="72"/>
      <c r="DM279" s="72"/>
      <c r="DN279" s="72"/>
      <c r="DO279" s="72"/>
      <c r="DP279" s="72"/>
      <c r="DQ279" s="72"/>
      <c r="DR279" s="72"/>
      <c r="DS279" s="72"/>
      <c r="DT279" s="72"/>
      <c r="DU279" s="72"/>
      <c r="DV279" s="72"/>
      <c r="DW279" s="72"/>
      <c r="DX279" s="72"/>
      <c r="DY279" s="72"/>
      <c r="DZ279" s="72"/>
      <c r="EA279" s="72"/>
      <c r="EB279" s="72"/>
      <c r="EC279" s="72"/>
      <c r="ED279" s="72"/>
      <c r="EE279" s="72"/>
      <c r="EF279" s="72"/>
      <c r="EG279" s="72"/>
      <c r="EH279" s="72"/>
      <c r="EI279" s="72"/>
      <c r="EJ279" s="72"/>
      <c r="EK279" s="72"/>
      <c r="EL279" s="72"/>
      <c r="EM279" s="72"/>
      <c r="EN279" s="72"/>
      <c r="EO279" s="72"/>
      <c r="EP279" s="72"/>
      <c r="EQ279" s="72"/>
      <c r="ER279" s="72"/>
      <c r="ES279" s="72"/>
      <c r="ET279" s="72"/>
      <c r="EU279" s="72"/>
      <c r="EV279" s="72"/>
      <c r="EW279" s="72"/>
      <c r="EX279" s="72"/>
      <c r="EY279" s="72"/>
      <c r="EZ279" s="72"/>
      <c r="FA279" s="72"/>
      <c r="FB279" s="72"/>
      <c r="FC279" s="72"/>
      <c r="FD279" s="72"/>
      <c r="FE279" s="72"/>
      <c r="FF279" s="72"/>
      <c r="FG279" s="72"/>
      <c r="FH279" s="72"/>
      <c r="FI279" s="72"/>
      <c r="FJ279" s="72"/>
      <c r="FK279" s="72"/>
      <c r="FL279" s="72"/>
      <c r="FM279" s="72"/>
      <c r="FN279" s="72"/>
      <c r="FO279" s="72"/>
      <c r="FP279" s="72"/>
      <c r="FQ279" s="72"/>
      <c r="FR279" s="72"/>
      <c r="FS279" s="72"/>
      <c r="FT279" s="72"/>
      <c r="FU279" s="72"/>
      <c r="FV279" s="72"/>
    </row>
    <row r="280" spans="2:178" s="1" customFormat="1" ht="15.75">
      <c r="B280" s="41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c r="CR280" s="72"/>
      <c r="CS280" s="72"/>
      <c r="CT280" s="72"/>
      <c r="CU280" s="72"/>
      <c r="CV280" s="72"/>
      <c r="CW280" s="72"/>
      <c r="CX280" s="72"/>
      <c r="CY280" s="72"/>
      <c r="CZ280" s="72"/>
      <c r="DA280" s="72"/>
      <c r="DB280" s="72"/>
      <c r="DC280" s="72"/>
      <c r="DD280" s="72"/>
      <c r="DE280" s="72"/>
      <c r="DF280" s="72"/>
      <c r="DG280" s="72"/>
      <c r="DH280" s="72"/>
      <c r="DI280" s="72"/>
      <c r="DJ280" s="72"/>
      <c r="DK280" s="72"/>
      <c r="DL280" s="72"/>
      <c r="DM280" s="72"/>
      <c r="DN280" s="72"/>
      <c r="DO280" s="72"/>
      <c r="DP280" s="72"/>
      <c r="DQ280" s="72"/>
      <c r="DR280" s="72"/>
      <c r="DS280" s="72"/>
      <c r="DT280" s="72"/>
      <c r="DU280" s="72"/>
      <c r="DV280" s="72"/>
      <c r="DW280" s="72"/>
      <c r="DX280" s="72"/>
      <c r="DY280" s="72"/>
      <c r="DZ280" s="72"/>
      <c r="EA280" s="72"/>
      <c r="EB280" s="72"/>
      <c r="EC280" s="72"/>
      <c r="ED280" s="72"/>
      <c r="EE280" s="72"/>
      <c r="EF280" s="72"/>
      <c r="EG280" s="72"/>
      <c r="EH280" s="72"/>
      <c r="EI280" s="72"/>
      <c r="EJ280" s="72"/>
      <c r="EK280" s="72"/>
      <c r="EL280" s="72"/>
      <c r="EM280" s="72"/>
      <c r="EN280" s="72"/>
      <c r="EO280" s="72"/>
      <c r="EP280" s="72"/>
      <c r="EQ280" s="72"/>
      <c r="ER280" s="72"/>
      <c r="ES280" s="72"/>
      <c r="ET280" s="72"/>
      <c r="EU280" s="72"/>
      <c r="EV280" s="72"/>
      <c r="EW280" s="72"/>
      <c r="EX280" s="72"/>
      <c r="EY280" s="72"/>
      <c r="EZ280" s="72"/>
      <c r="FA280" s="72"/>
      <c r="FB280" s="72"/>
      <c r="FC280" s="72"/>
      <c r="FD280" s="72"/>
      <c r="FE280" s="72"/>
      <c r="FF280" s="72"/>
      <c r="FG280" s="72"/>
      <c r="FH280" s="72"/>
      <c r="FI280" s="72"/>
      <c r="FJ280" s="72"/>
      <c r="FK280" s="72"/>
      <c r="FL280" s="72"/>
      <c r="FM280" s="72"/>
      <c r="FN280" s="72"/>
      <c r="FO280" s="72"/>
      <c r="FP280" s="72"/>
      <c r="FQ280" s="72"/>
      <c r="FR280" s="72"/>
      <c r="FS280" s="72"/>
      <c r="FT280" s="72"/>
      <c r="FU280" s="72"/>
      <c r="FV280" s="72"/>
    </row>
    <row r="281" spans="2:178" s="1" customFormat="1" ht="15.75">
      <c r="B281" s="41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c r="CR281" s="72"/>
      <c r="CS281" s="72"/>
      <c r="CT281" s="72"/>
      <c r="CU281" s="72"/>
      <c r="CV281" s="72"/>
      <c r="CW281" s="72"/>
      <c r="CX281" s="72"/>
      <c r="CY281" s="72"/>
      <c r="CZ281" s="72"/>
      <c r="DA281" s="72"/>
      <c r="DB281" s="72"/>
      <c r="DC281" s="72"/>
      <c r="DD281" s="72"/>
      <c r="DE281" s="72"/>
      <c r="DF281" s="72"/>
      <c r="DG281" s="72"/>
      <c r="DH281" s="72"/>
      <c r="DI281" s="72"/>
      <c r="DJ281" s="72"/>
      <c r="DK281" s="72"/>
      <c r="DL281" s="72"/>
      <c r="DM281" s="72"/>
      <c r="DN281" s="72"/>
      <c r="DO281" s="72"/>
      <c r="DP281" s="72"/>
      <c r="DQ281" s="72"/>
      <c r="DR281" s="72"/>
      <c r="DS281" s="72"/>
      <c r="DT281" s="72"/>
      <c r="DU281" s="72"/>
      <c r="DV281" s="72"/>
      <c r="DW281" s="72"/>
      <c r="DX281" s="72"/>
      <c r="DY281" s="72"/>
      <c r="DZ281" s="72"/>
      <c r="EA281" s="72"/>
      <c r="EB281" s="72"/>
      <c r="EC281" s="72"/>
      <c r="ED281" s="72"/>
      <c r="EE281" s="72"/>
      <c r="EF281" s="72"/>
      <c r="EG281" s="72"/>
      <c r="EH281" s="72"/>
      <c r="EI281" s="72"/>
      <c r="EJ281" s="72"/>
      <c r="EK281" s="72"/>
      <c r="EL281" s="72"/>
      <c r="EM281" s="72"/>
      <c r="EN281" s="72"/>
      <c r="EO281" s="72"/>
      <c r="EP281" s="72"/>
      <c r="EQ281" s="72"/>
      <c r="ER281" s="72"/>
      <c r="ES281" s="72"/>
      <c r="ET281" s="72"/>
      <c r="EU281" s="72"/>
      <c r="EV281" s="72"/>
      <c r="EW281" s="72"/>
      <c r="EX281" s="72"/>
      <c r="EY281" s="72"/>
      <c r="EZ281" s="72"/>
      <c r="FA281" s="72"/>
      <c r="FB281" s="72"/>
      <c r="FC281" s="72"/>
      <c r="FD281" s="72"/>
      <c r="FE281" s="72"/>
      <c r="FF281" s="72"/>
      <c r="FG281" s="72"/>
      <c r="FH281" s="72"/>
      <c r="FI281" s="72"/>
      <c r="FJ281" s="72"/>
      <c r="FK281" s="72"/>
      <c r="FL281" s="72"/>
      <c r="FM281" s="72"/>
      <c r="FN281" s="72"/>
      <c r="FO281" s="72"/>
      <c r="FP281" s="72"/>
      <c r="FQ281" s="72"/>
      <c r="FR281" s="72"/>
      <c r="FS281" s="72"/>
      <c r="FT281" s="72"/>
      <c r="FU281" s="72"/>
      <c r="FV281" s="72"/>
    </row>
    <row r="282" spans="2:178" s="1" customFormat="1" ht="15.75">
      <c r="B282" s="41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c r="CI282" s="72"/>
      <c r="CJ282" s="72"/>
      <c r="CK282" s="72"/>
      <c r="CL282" s="72"/>
      <c r="CM282" s="72"/>
      <c r="CN282" s="72"/>
      <c r="CO282" s="72"/>
      <c r="CP282" s="72"/>
      <c r="CQ282" s="72"/>
      <c r="CR282" s="72"/>
      <c r="CS282" s="72"/>
      <c r="CT282" s="72"/>
      <c r="CU282" s="72"/>
      <c r="CV282" s="72"/>
      <c r="CW282" s="72"/>
      <c r="CX282" s="72"/>
      <c r="CY282" s="72"/>
      <c r="CZ282" s="72"/>
      <c r="DA282" s="72"/>
      <c r="DB282" s="72"/>
      <c r="DC282" s="72"/>
      <c r="DD282" s="72"/>
      <c r="DE282" s="72"/>
      <c r="DF282" s="72"/>
      <c r="DG282" s="72"/>
      <c r="DH282" s="72"/>
      <c r="DI282" s="72"/>
      <c r="DJ282" s="72"/>
      <c r="DK282" s="72"/>
      <c r="DL282" s="72"/>
      <c r="DM282" s="72"/>
      <c r="DN282" s="72"/>
      <c r="DO282" s="72"/>
      <c r="DP282" s="72"/>
      <c r="DQ282" s="72"/>
      <c r="DR282" s="72"/>
      <c r="DS282" s="72"/>
      <c r="DT282" s="72"/>
      <c r="DU282" s="72"/>
      <c r="DV282" s="72"/>
      <c r="DW282" s="72"/>
      <c r="DX282" s="72"/>
      <c r="DY282" s="72"/>
      <c r="DZ282" s="72"/>
      <c r="EA282" s="72"/>
      <c r="EB282" s="72"/>
      <c r="EC282" s="72"/>
      <c r="ED282" s="72"/>
      <c r="EE282" s="72"/>
      <c r="EF282" s="72"/>
      <c r="EG282" s="72"/>
      <c r="EH282" s="72"/>
      <c r="EI282" s="72"/>
      <c r="EJ282" s="72"/>
      <c r="EK282" s="72"/>
      <c r="EL282" s="72"/>
      <c r="EM282" s="72"/>
      <c r="EN282" s="72"/>
      <c r="EO282" s="72"/>
      <c r="EP282" s="72"/>
      <c r="EQ282" s="72"/>
      <c r="ER282" s="72"/>
      <c r="ES282" s="72"/>
      <c r="ET282" s="72"/>
      <c r="EU282" s="72"/>
      <c r="EV282" s="72"/>
      <c r="EW282" s="72"/>
      <c r="EX282" s="72"/>
      <c r="EY282" s="72"/>
      <c r="EZ282" s="72"/>
      <c r="FA282" s="72"/>
      <c r="FB282" s="72"/>
      <c r="FC282" s="72"/>
      <c r="FD282" s="72"/>
      <c r="FE282" s="72"/>
      <c r="FF282" s="72"/>
      <c r="FG282" s="72"/>
      <c r="FH282" s="72"/>
      <c r="FI282" s="72"/>
      <c r="FJ282" s="72"/>
      <c r="FK282" s="72"/>
      <c r="FL282" s="72"/>
      <c r="FM282" s="72"/>
      <c r="FN282" s="72"/>
      <c r="FO282" s="72"/>
      <c r="FP282" s="72"/>
      <c r="FQ282" s="72"/>
      <c r="FR282" s="72"/>
      <c r="FS282" s="72"/>
      <c r="FT282" s="72"/>
      <c r="FU282" s="72"/>
      <c r="FV282" s="72"/>
    </row>
    <row r="283" spans="2:178" s="1" customFormat="1" ht="15.75">
      <c r="B283" s="41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c r="CI283" s="72"/>
      <c r="CJ283" s="72"/>
      <c r="CK283" s="72"/>
      <c r="CL283" s="72"/>
      <c r="CM283" s="72"/>
      <c r="CN283" s="72"/>
      <c r="CO283" s="72"/>
      <c r="CP283" s="72"/>
      <c r="CQ283" s="72"/>
      <c r="CR283" s="72"/>
      <c r="CS283" s="72"/>
      <c r="CT283" s="72"/>
      <c r="CU283" s="72"/>
      <c r="CV283" s="72"/>
      <c r="CW283" s="72"/>
      <c r="CX283" s="72"/>
      <c r="CY283" s="72"/>
      <c r="CZ283" s="72"/>
      <c r="DA283" s="72"/>
      <c r="DB283" s="72"/>
      <c r="DC283" s="72"/>
      <c r="DD283" s="72"/>
      <c r="DE283" s="72"/>
      <c r="DF283" s="72"/>
      <c r="DG283" s="72"/>
      <c r="DH283" s="72"/>
      <c r="DI283" s="72"/>
      <c r="DJ283" s="72"/>
      <c r="DK283" s="72"/>
      <c r="DL283" s="72"/>
      <c r="DM283" s="72"/>
      <c r="DN283" s="72"/>
      <c r="DO283" s="72"/>
      <c r="DP283" s="72"/>
      <c r="DQ283" s="72"/>
      <c r="DR283" s="72"/>
      <c r="DS283" s="72"/>
      <c r="DT283" s="72"/>
      <c r="DU283" s="72"/>
      <c r="DV283" s="72"/>
      <c r="DW283" s="72"/>
      <c r="DX283" s="72"/>
      <c r="DY283" s="72"/>
      <c r="DZ283" s="72"/>
      <c r="EA283" s="72"/>
      <c r="EB283" s="72"/>
      <c r="EC283" s="72"/>
      <c r="ED283" s="72"/>
      <c r="EE283" s="72"/>
      <c r="EF283" s="72"/>
      <c r="EG283" s="72"/>
      <c r="EH283" s="72"/>
      <c r="EI283" s="72"/>
      <c r="EJ283" s="72"/>
      <c r="EK283" s="72"/>
      <c r="EL283" s="72"/>
      <c r="EM283" s="72"/>
      <c r="EN283" s="72"/>
      <c r="EO283" s="72"/>
      <c r="EP283" s="72"/>
      <c r="EQ283" s="72"/>
      <c r="ER283" s="72"/>
      <c r="ES283" s="72"/>
      <c r="ET283" s="72"/>
      <c r="EU283" s="72"/>
      <c r="EV283" s="72"/>
      <c r="EW283" s="72"/>
      <c r="EX283" s="72"/>
      <c r="EY283" s="72"/>
      <c r="EZ283" s="72"/>
      <c r="FA283" s="72"/>
      <c r="FB283" s="72"/>
      <c r="FC283" s="72"/>
      <c r="FD283" s="72"/>
      <c r="FE283" s="72"/>
      <c r="FF283" s="72"/>
      <c r="FG283" s="72"/>
      <c r="FH283" s="72"/>
      <c r="FI283" s="72"/>
      <c r="FJ283" s="72"/>
      <c r="FK283" s="72"/>
      <c r="FL283" s="72"/>
      <c r="FM283" s="72"/>
      <c r="FN283" s="72"/>
      <c r="FO283" s="72"/>
      <c r="FP283" s="72"/>
      <c r="FQ283" s="72"/>
      <c r="FR283" s="72"/>
      <c r="FS283" s="72"/>
      <c r="FT283" s="72"/>
      <c r="FU283" s="72"/>
      <c r="FV283" s="72"/>
    </row>
    <row r="284" spans="2:178" s="1" customFormat="1" ht="15.75">
      <c r="B284" s="41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c r="BO284" s="72"/>
      <c r="BP284" s="72"/>
      <c r="BQ284" s="72"/>
      <c r="BR284" s="72"/>
      <c r="BS284" s="72"/>
      <c r="BT284" s="72"/>
      <c r="BU284" s="72"/>
      <c r="BV284" s="72"/>
      <c r="BW284" s="72"/>
      <c r="BX284" s="72"/>
      <c r="BY284" s="72"/>
      <c r="BZ284" s="72"/>
      <c r="CA284" s="72"/>
      <c r="CB284" s="72"/>
      <c r="CC284" s="72"/>
      <c r="CD284" s="72"/>
      <c r="CE284" s="72"/>
      <c r="CF284" s="72"/>
      <c r="CG284" s="72"/>
      <c r="CH284" s="72"/>
      <c r="CI284" s="72"/>
      <c r="CJ284" s="72"/>
      <c r="CK284" s="72"/>
      <c r="CL284" s="72"/>
      <c r="CM284" s="72"/>
      <c r="CN284" s="72"/>
      <c r="CO284" s="72"/>
      <c r="CP284" s="72"/>
      <c r="CQ284" s="72"/>
      <c r="CR284" s="72"/>
      <c r="CS284" s="72"/>
      <c r="CT284" s="72"/>
      <c r="CU284" s="72"/>
      <c r="CV284" s="72"/>
      <c r="CW284" s="72"/>
      <c r="CX284" s="72"/>
      <c r="CY284" s="72"/>
      <c r="CZ284" s="72"/>
      <c r="DA284" s="72"/>
      <c r="DB284" s="72"/>
      <c r="DC284" s="72"/>
      <c r="DD284" s="72"/>
      <c r="DE284" s="72"/>
      <c r="DF284" s="72"/>
      <c r="DG284" s="72"/>
      <c r="DH284" s="72"/>
      <c r="DI284" s="72"/>
      <c r="DJ284" s="72"/>
      <c r="DK284" s="72"/>
      <c r="DL284" s="72"/>
      <c r="DM284" s="72"/>
      <c r="DN284" s="72"/>
      <c r="DO284" s="72"/>
      <c r="DP284" s="72"/>
      <c r="DQ284" s="72"/>
      <c r="DR284" s="72"/>
      <c r="DS284" s="72"/>
      <c r="DT284" s="72"/>
      <c r="DU284" s="72"/>
      <c r="DV284" s="72"/>
      <c r="DW284" s="72"/>
      <c r="DX284" s="72"/>
      <c r="DY284" s="72"/>
      <c r="DZ284" s="72"/>
      <c r="EA284" s="72"/>
      <c r="EB284" s="72"/>
      <c r="EC284" s="72"/>
      <c r="ED284" s="72"/>
      <c r="EE284" s="72"/>
      <c r="EF284" s="72"/>
      <c r="EG284" s="72"/>
      <c r="EH284" s="72"/>
      <c r="EI284" s="72"/>
      <c r="EJ284" s="72"/>
      <c r="EK284" s="72"/>
      <c r="EL284" s="72"/>
      <c r="EM284" s="72"/>
      <c r="EN284" s="72"/>
      <c r="EO284" s="72"/>
      <c r="EP284" s="72"/>
      <c r="EQ284" s="72"/>
      <c r="ER284" s="72"/>
      <c r="ES284" s="72"/>
      <c r="ET284" s="72"/>
      <c r="EU284" s="72"/>
      <c r="EV284" s="72"/>
      <c r="EW284" s="72"/>
      <c r="EX284" s="72"/>
      <c r="EY284" s="72"/>
      <c r="EZ284" s="72"/>
      <c r="FA284" s="72"/>
      <c r="FB284" s="72"/>
      <c r="FC284" s="72"/>
      <c r="FD284" s="72"/>
      <c r="FE284" s="72"/>
      <c r="FF284" s="72"/>
      <c r="FG284" s="72"/>
      <c r="FH284" s="72"/>
      <c r="FI284" s="72"/>
      <c r="FJ284" s="72"/>
      <c r="FK284" s="72"/>
      <c r="FL284" s="72"/>
      <c r="FM284" s="72"/>
      <c r="FN284" s="72"/>
      <c r="FO284" s="72"/>
      <c r="FP284" s="72"/>
      <c r="FQ284" s="72"/>
      <c r="FR284" s="72"/>
      <c r="FS284" s="72"/>
      <c r="FT284" s="72"/>
      <c r="FU284" s="72"/>
      <c r="FV284" s="72"/>
    </row>
    <row r="285" spans="2:178" s="1" customFormat="1" ht="15.75">
      <c r="B285" s="41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c r="BV285" s="72"/>
      <c r="BW285" s="72"/>
      <c r="BX285" s="72"/>
      <c r="BY285" s="72"/>
      <c r="BZ285" s="72"/>
      <c r="CA285" s="72"/>
      <c r="CB285" s="72"/>
      <c r="CC285" s="72"/>
      <c r="CD285" s="72"/>
      <c r="CE285" s="72"/>
      <c r="CF285" s="72"/>
      <c r="CG285" s="72"/>
      <c r="CH285" s="72"/>
      <c r="CI285" s="72"/>
      <c r="CJ285" s="72"/>
      <c r="CK285" s="72"/>
      <c r="CL285" s="72"/>
      <c r="CM285" s="72"/>
      <c r="CN285" s="72"/>
      <c r="CO285" s="72"/>
      <c r="CP285" s="72"/>
      <c r="CQ285" s="72"/>
      <c r="CR285" s="72"/>
      <c r="CS285" s="72"/>
      <c r="CT285" s="72"/>
      <c r="CU285" s="72"/>
      <c r="CV285" s="72"/>
      <c r="CW285" s="72"/>
      <c r="CX285" s="72"/>
      <c r="CY285" s="72"/>
      <c r="CZ285" s="72"/>
      <c r="DA285" s="72"/>
      <c r="DB285" s="72"/>
      <c r="DC285" s="72"/>
      <c r="DD285" s="72"/>
      <c r="DE285" s="72"/>
      <c r="DF285" s="72"/>
      <c r="DG285" s="72"/>
      <c r="DH285" s="72"/>
      <c r="DI285" s="72"/>
      <c r="DJ285" s="72"/>
      <c r="DK285" s="72"/>
      <c r="DL285" s="72"/>
      <c r="DM285" s="72"/>
      <c r="DN285" s="72"/>
      <c r="DO285" s="72"/>
      <c r="DP285" s="72"/>
      <c r="DQ285" s="72"/>
      <c r="DR285" s="72"/>
      <c r="DS285" s="72"/>
      <c r="DT285" s="72"/>
      <c r="DU285" s="72"/>
      <c r="DV285" s="72"/>
      <c r="DW285" s="72"/>
      <c r="DX285" s="72"/>
      <c r="DY285" s="72"/>
      <c r="DZ285" s="72"/>
      <c r="EA285" s="72"/>
      <c r="EB285" s="72"/>
      <c r="EC285" s="72"/>
      <c r="ED285" s="72"/>
      <c r="EE285" s="72"/>
      <c r="EF285" s="72"/>
      <c r="EG285" s="72"/>
      <c r="EH285" s="72"/>
      <c r="EI285" s="72"/>
      <c r="EJ285" s="72"/>
      <c r="EK285" s="72"/>
      <c r="EL285" s="72"/>
      <c r="EM285" s="72"/>
      <c r="EN285" s="72"/>
      <c r="EO285" s="72"/>
      <c r="EP285" s="72"/>
      <c r="EQ285" s="72"/>
      <c r="ER285" s="72"/>
      <c r="ES285" s="72"/>
      <c r="ET285" s="72"/>
      <c r="EU285" s="72"/>
      <c r="EV285" s="72"/>
      <c r="EW285" s="72"/>
      <c r="EX285" s="72"/>
      <c r="EY285" s="72"/>
      <c r="EZ285" s="72"/>
      <c r="FA285" s="72"/>
      <c r="FB285" s="72"/>
      <c r="FC285" s="72"/>
      <c r="FD285" s="72"/>
      <c r="FE285" s="72"/>
      <c r="FF285" s="72"/>
      <c r="FG285" s="72"/>
      <c r="FH285" s="72"/>
      <c r="FI285" s="72"/>
      <c r="FJ285" s="72"/>
      <c r="FK285" s="72"/>
      <c r="FL285" s="72"/>
      <c r="FM285" s="72"/>
      <c r="FN285" s="72"/>
      <c r="FO285" s="72"/>
      <c r="FP285" s="72"/>
      <c r="FQ285" s="72"/>
      <c r="FR285" s="72"/>
      <c r="FS285" s="72"/>
      <c r="FT285" s="72"/>
      <c r="FU285" s="72"/>
      <c r="FV285" s="72"/>
    </row>
    <row r="286" spans="2:178" s="1" customFormat="1" ht="15.75">
      <c r="B286" s="41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c r="BV286" s="72"/>
      <c r="BW286" s="72"/>
      <c r="BX286" s="72"/>
      <c r="BY286" s="72"/>
      <c r="BZ286" s="72"/>
      <c r="CA286" s="72"/>
      <c r="CB286" s="72"/>
      <c r="CC286" s="72"/>
      <c r="CD286" s="72"/>
      <c r="CE286" s="72"/>
      <c r="CF286" s="72"/>
      <c r="CG286" s="72"/>
      <c r="CH286" s="72"/>
      <c r="CI286" s="72"/>
      <c r="CJ286" s="72"/>
      <c r="CK286" s="72"/>
      <c r="CL286" s="72"/>
      <c r="CM286" s="72"/>
      <c r="CN286" s="72"/>
      <c r="CO286" s="72"/>
      <c r="CP286" s="72"/>
      <c r="CQ286" s="72"/>
      <c r="CR286" s="72"/>
      <c r="CS286" s="72"/>
      <c r="CT286" s="72"/>
      <c r="CU286" s="72"/>
      <c r="CV286" s="72"/>
      <c r="CW286" s="72"/>
      <c r="CX286" s="72"/>
      <c r="CY286" s="72"/>
      <c r="CZ286" s="72"/>
      <c r="DA286" s="72"/>
      <c r="DB286" s="72"/>
      <c r="DC286" s="72"/>
      <c r="DD286" s="72"/>
      <c r="DE286" s="72"/>
      <c r="DF286" s="72"/>
      <c r="DG286" s="72"/>
      <c r="DH286" s="72"/>
      <c r="DI286" s="72"/>
      <c r="DJ286" s="72"/>
      <c r="DK286" s="72"/>
      <c r="DL286" s="72"/>
      <c r="DM286" s="72"/>
      <c r="DN286" s="72"/>
      <c r="DO286" s="72"/>
      <c r="DP286" s="72"/>
      <c r="DQ286" s="72"/>
      <c r="DR286" s="72"/>
      <c r="DS286" s="72"/>
      <c r="DT286" s="72"/>
      <c r="DU286" s="72"/>
      <c r="DV286" s="72"/>
      <c r="DW286" s="72"/>
      <c r="DX286" s="72"/>
      <c r="DY286" s="72"/>
      <c r="DZ286" s="72"/>
      <c r="EA286" s="72"/>
      <c r="EB286" s="72"/>
      <c r="EC286" s="72"/>
      <c r="ED286" s="72"/>
      <c r="EE286" s="72"/>
      <c r="EF286" s="72"/>
      <c r="EG286" s="72"/>
      <c r="EH286" s="72"/>
      <c r="EI286" s="72"/>
      <c r="EJ286" s="72"/>
      <c r="EK286" s="72"/>
      <c r="EL286" s="72"/>
      <c r="EM286" s="72"/>
      <c r="EN286" s="72"/>
      <c r="EO286" s="72"/>
      <c r="EP286" s="72"/>
      <c r="EQ286" s="72"/>
      <c r="ER286" s="72"/>
      <c r="ES286" s="72"/>
      <c r="ET286" s="72"/>
      <c r="EU286" s="72"/>
      <c r="EV286" s="72"/>
      <c r="EW286" s="72"/>
      <c r="EX286" s="72"/>
      <c r="EY286" s="72"/>
      <c r="EZ286" s="72"/>
      <c r="FA286" s="72"/>
      <c r="FB286" s="72"/>
      <c r="FC286" s="72"/>
      <c r="FD286" s="72"/>
      <c r="FE286" s="72"/>
      <c r="FF286" s="72"/>
      <c r="FG286" s="72"/>
      <c r="FH286" s="72"/>
      <c r="FI286" s="72"/>
      <c r="FJ286" s="72"/>
      <c r="FK286" s="72"/>
      <c r="FL286" s="72"/>
      <c r="FM286" s="72"/>
      <c r="FN286" s="72"/>
      <c r="FO286" s="72"/>
      <c r="FP286" s="72"/>
      <c r="FQ286" s="72"/>
      <c r="FR286" s="72"/>
      <c r="FS286" s="72"/>
      <c r="FT286" s="72"/>
      <c r="FU286" s="72"/>
      <c r="FV286" s="72"/>
    </row>
    <row r="287" spans="2:178" s="1" customFormat="1" ht="15.75">
      <c r="B287" s="41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72"/>
      <c r="DZ287" s="72"/>
      <c r="EA287" s="72"/>
      <c r="EB287" s="72"/>
      <c r="EC287" s="72"/>
      <c r="ED287" s="72"/>
      <c r="EE287" s="72"/>
      <c r="EF287" s="72"/>
      <c r="EG287" s="72"/>
      <c r="EH287" s="72"/>
      <c r="EI287" s="72"/>
      <c r="EJ287" s="72"/>
      <c r="EK287" s="72"/>
      <c r="EL287" s="72"/>
      <c r="EM287" s="72"/>
      <c r="EN287" s="72"/>
      <c r="EO287" s="72"/>
      <c r="EP287" s="72"/>
      <c r="EQ287" s="72"/>
      <c r="ER287" s="72"/>
      <c r="ES287" s="72"/>
      <c r="ET287" s="72"/>
      <c r="EU287" s="72"/>
      <c r="EV287" s="72"/>
      <c r="EW287" s="72"/>
      <c r="EX287" s="72"/>
      <c r="EY287" s="72"/>
      <c r="EZ287" s="72"/>
      <c r="FA287" s="72"/>
      <c r="FB287" s="72"/>
      <c r="FC287" s="72"/>
      <c r="FD287" s="72"/>
      <c r="FE287" s="72"/>
      <c r="FF287" s="72"/>
      <c r="FG287" s="72"/>
      <c r="FH287" s="72"/>
      <c r="FI287" s="72"/>
      <c r="FJ287" s="72"/>
      <c r="FK287" s="72"/>
      <c r="FL287" s="72"/>
      <c r="FM287" s="72"/>
      <c r="FN287" s="72"/>
      <c r="FO287" s="72"/>
      <c r="FP287" s="72"/>
      <c r="FQ287" s="72"/>
      <c r="FR287" s="72"/>
      <c r="FS287" s="72"/>
      <c r="FT287" s="72"/>
      <c r="FU287" s="72"/>
      <c r="FV287" s="72"/>
    </row>
    <row r="288" spans="2:178" s="1" customFormat="1" ht="15.75">
      <c r="B288" s="41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c r="BV288" s="72"/>
      <c r="BW288" s="72"/>
      <c r="BX288" s="72"/>
      <c r="BY288" s="72"/>
      <c r="BZ288" s="72"/>
      <c r="CA288" s="72"/>
      <c r="CB288" s="72"/>
      <c r="CC288" s="72"/>
      <c r="CD288" s="72"/>
      <c r="CE288" s="72"/>
      <c r="CF288" s="72"/>
      <c r="CG288" s="72"/>
      <c r="CH288" s="72"/>
      <c r="CI288" s="72"/>
      <c r="CJ288" s="72"/>
      <c r="CK288" s="72"/>
      <c r="CL288" s="72"/>
      <c r="CM288" s="72"/>
      <c r="CN288" s="72"/>
      <c r="CO288" s="72"/>
      <c r="CP288" s="72"/>
      <c r="CQ288" s="72"/>
      <c r="CR288" s="72"/>
      <c r="CS288" s="72"/>
      <c r="CT288" s="72"/>
      <c r="CU288" s="72"/>
      <c r="CV288" s="72"/>
      <c r="CW288" s="72"/>
      <c r="CX288" s="72"/>
      <c r="CY288" s="72"/>
      <c r="CZ288" s="72"/>
      <c r="DA288" s="72"/>
      <c r="DB288" s="72"/>
      <c r="DC288" s="72"/>
      <c r="DD288" s="72"/>
      <c r="DE288" s="72"/>
      <c r="DF288" s="72"/>
      <c r="DG288" s="72"/>
      <c r="DH288" s="72"/>
      <c r="DI288" s="72"/>
      <c r="DJ288" s="72"/>
      <c r="DK288" s="72"/>
      <c r="DL288" s="72"/>
      <c r="DM288" s="72"/>
      <c r="DN288" s="72"/>
      <c r="DO288" s="72"/>
      <c r="DP288" s="72"/>
      <c r="DQ288" s="72"/>
      <c r="DR288" s="72"/>
      <c r="DS288" s="72"/>
      <c r="DT288" s="72"/>
      <c r="DU288" s="72"/>
      <c r="DV288" s="72"/>
      <c r="DW288" s="72"/>
      <c r="DX288" s="72"/>
      <c r="DY288" s="72"/>
      <c r="DZ288" s="72"/>
      <c r="EA288" s="72"/>
      <c r="EB288" s="72"/>
      <c r="EC288" s="72"/>
      <c r="ED288" s="72"/>
      <c r="EE288" s="72"/>
      <c r="EF288" s="72"/>
      <c r="EG288" s="72"/>
      <c r="EH288" s="72"/>
      <c r="EI288" s="72"/>
      <c r="EJ288" s="72"/>
      <c r="EK288" s="72"/>
      <c r="EL288" s="72"/>
      <c r="EM288" s="72"/>
      <c r="EN288" s="72"/>
      <c r="EO288" s="72"/>
      <c r="EP288" s="72"/>
      <c r="EQ288" s="72"/>
      <c r="ER288" s="72"/>
      <c r="ES288" s="72"/>
      <c r="ET288" s="72"/>
      <c r="EU288" s="72"/>
      <c r="EV288" s="72"/>
      <c r="EW288" s="72"/>
      <c r="EX288" s="72"/>
      <c r="EY288" s="72"/>
      <c r="EZ288" s="72"/>
      <c r="FA288" s="72"/>
      <c r="FB288" s="72"/>
      <c r="FC288" s="72"/>
      <c r="FD288" s="72"/>
      <c r="FE288" s="72"/>
      <c r="FF288" s="72"/>
      <c r="FG288" s="72"/>
      <c r="FH288" s="72"/>
      <c r="FI288" s="72"/>
      <c r="FJ288" s="72"/>
      <c r="FK288" s="72"/>
      <c r="FL288" s="72"/>
      <c r="FM288" s="72"/>
      <c r="FN288" s="72"/>
      <c r="FO288" s="72"/>
      <c r="FP288" s="72"/>
      <c r="FQ288" s="72"/>
      <c r="FR288" s="72"/>
      <c r="FS288" s="72"/>
      <c r="FT288" s="72"/>
      <c r="FU288" s="72"/>
      <c r="FV288" s="72"/>
    </row>
    <row r="289" spans="2:178" s="1" customFormat="1" ht="15.75">
      <c r="B289" s="41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c r="BV289" s="72"/>
      <c r="BW289" s="72"/>
      <c r="BX289" s="72"/>
      <c r="BY289" s="72"/>
      <c r="BZ289" s="72"/>
      <c r="CA289" s="72"/>
      <c r="CB289" s="72"/>
      <c r="CC289" s="72"/>
      <c r="CD289" s="72"/>
      <c r="CE289" s="72"/>
      <c r="CF289" s="72"/>
      <c r="CG289" s="72"/>
      <c r="CH289" s="72"/>
      <c r="CI289" s="72"/>
      <c r="CJ289" s="72"/>
      <c r="CK289" s="72"/>
      <c r="CL289" s="72"/>
      <c r="CM289" s="72"/>
      <c r="CN289" s="72"/>
      <c r="CO289" s="72"/>
      <c r="CP289" s="72"/>
      <c r="CQ289" s="72"/>
      <c r="CR289" s="72"/>
      <c r="CS289" s="72"/>
      <c r="CT289" s="72"/>
      <c r="CU289" s="72"/>
      <c r="CV289" s="72"/>
      <c r="CW289" s="72"/>
      <c r="CX289" s="72"/>
      <c r="CY289" s="72"/>
      <c r="CZ289" s="72"/>
      <c r="DA289" s="72"/>
      <c r="DB289" s="72"/>
      <c r="DC289" s="72"/>
      <c r="DD289" s="72"/>
      <c r="DE289" s="72"/>
      <c r="DF289" s="72"/>
      <c r="DG289" s="72"/>
      <c r="DH289" s="72"/>
      <c r="DI289" s="72"/>
      <c r="DJ289" s="72"/>
      <c r="DK289" s="72"/>
      <c r="DL289" s="72"/>
      <c r="DM289" s="72"/>
      <c r="DN289" s="72"/>
      <c r="DO289" s="72"/>
      <c r="DP289" s="72"/>
      <c r="DQ289" s="72"/>
      <c r="DR289" s="72"/>
      <c r="DS289" s="72"/>
      <c r="DT289" s="72"/>
      <c r="DU289" s="72"/>
      <c r="DV289" s="72"/>
      <c r="DW289" s="72"/>
      <c r="DX289" s="72"/>
      <c r="DY289" s="72"/>
      <c r="DZ289" s="72"/>
      <c r="EA289" s="72"/>
      <c r="EB289" s="72"/>
      <c r="EC289" s="72"/>
      <c r="ED289" s="72"/>
      <c r="EE289" s="72"/>
      <c r="EF289" s="72"/>
      <c r="EG289" s="72"/>
      <c r="EH289" s="72"/>
      <c r="EI289" s="72"/>
      <c r="EJ289" s="72"/>
      <c r="EK289" s="72"/>
      <c r="EL289" s="72"/>
      <c r="EM289" s="72"/>
      <c r="EN289" s="72"/>
      <c r="EO289" s="72"/>
      <c r="EP289" s="72"/>
      <c r="EQ289" s="72"/>
      <c r="ER289" s="72"/>
      <c r="ES289" s="72"/>
      <c r="ET289" s="72"/>
      <c r="EU289" s="72"/>
      <c r="EV289" s="72"/>
      <c r="EW289" s="72"/>
      <c r="EX289" s="72"/>
      <c r="EY289" s="72"/>
      <c r="EZ289" s="72"/>
      <c r="FA289" s="72"/>
      <c r="FB289" s="72"/>
      <c r="FC289" s="72"/>
      <c r="FD289" s="72"/>
      <c r="FE289" s="72"/>
      <c r="FF289" s="72"/>
      <c r="FG289" s="72"/>
      <c r="FH289" s="72"/>
      <c r="FI289" s="72"/>
      <c r="FJ289" s="72"/>
      <c r="FK289" s="72"/>
      <c r="FL289" s="72"/>
      <c r="FM289" s="72"/>
      <c r="FN289" s="72"/>
      <c r="FO289" s="72"/>
      <c r="FP289" s="72"/>
      <c r="FQ289" s="72"/>
      <c r="FR289" s="72"/>
      <c r="FS289" s="72"/>
      <c r="FT289" s="72"/>
      <c r="FU289" s="72"/>
      <c r="FV289" s="72"/>
    </row>
    <row r="290" spans="2:178" s="1" customFormat="1" ht="15.75">
      <c r="B290" s="41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72"/>
      <c r="BY290" s="72"/>
      <c r="BZ290" s="72"/>
      <c r="CA290" s="72"/>
      <c r="CB290" s="72"/>
      <c r="CC290" s="72"/>
      <c r="CD290" s="72"/>
      <c r="CE290" s="72"/>
      <c r="CF290" s="72"/>
      <c r="CG290" s="72"/>
      <c r="CH290" s="72"/>
      <c r="CI290" s="72"/>
      <c r="CJ290" s="72"/>
      <c r="CK290" s="72"/>
      <c r="CL290" s="72"/>
      <c r="CM290" s="72"/>
      <c r="CN290" s="72"/>
      <c r="CO290" s="72"/>
      <c r="CP290" s="72"/>
      <c r="CQ290" s="72"/>
      <c r="CR290" s="72"/>
      <c r="CS290" s="72"/>
      <c r="CT290" s="72"/>
      <c r="CU290" s="72"/>
      <c r="CV290" s="72"/>
      <c r="CW290" s="72"/>
      <c r="CX290" s="72"/>
      <c r="CY290" s="72"/>
      <c r="CZ290" s="72"/>
      <c r="DA290" s="72"/>
      <c r="DB290" s="72"/>
      <c r="DC290" s="72"/>
      <c r="DD290" s="72"/>
      <c r="DE290" s="72"/>
      <c r="DF290" s="72"/>
      <c r="DG290" s="72"/>
      <c r="DH290" s="72"/>
      <c r="DI290" s="72"/>
      <c r="DJ290" s="72"/>
      <c r="DK290" s="72"/>
      <c r="DL290" s="72"/>
      <c r="DM290" s="72"/>
      <c r="DN290" s="72"/>
      <c r="DO290" s="72"/>
      <c r="DP290" s="72"/>
      <c r="DQ290" s="72"/>
      <c r="DR290" s="72"/>
      <c r="DS290" s="72"/>
      <c r="DT290" s="72"/>
      <c r="DU290" s="72"/>
      <c r="DV290" s="72"/>
      <c r="DW290" s="72"/>
      <c r="DX290" s="72"/>
      <c r="DY290" s="72"/>
      <c r="DZ290" s="72"/>
      <c r="EA290" s="72"/>
      <c r="EB290" s="72"/>
      <c r="EC290" s="72"/>
      <c r="ED290" s="72"/>
      <c r="EE290" s="72"/>
      <c r="EF290" s="72"/>
      <c r="EG290" s="72"/>
      <c r="EH290" s="72"/>
      <c r="EI290" s="72"/>
      <c r="EJ290" s="72"/>
      <c r="EK290" s="72"/>
      <c r="EL290" s="72"/>
      <c r="EM290" s="72"/>
      <c r="EN290" s="72"/>
      <c r="EO290" s="72"/>
      <c r="EP290" s="72"/>
      <c r="EQ290" s="72"/>
      <c r="ER290" s="72"/>
      <c r="ES290" s="72"/>
      <c r="ET290" s="72"/>
      <c r="EU290" s="72"/>
      <c r="EV290" s="72"/>
      <c r="EW290" s="72"/>
      <c r="EX290" s="72"/>
      <c r="EY290" s="72"/>
      <c r="EZ290" s="72"/>
      <c r="FA290" s="72"/>
      <c r="FB290" s="72"/>
      <c r="FC290" s="72"/>
      <c r="FD290" s="72"/>
      <c r="FE290" s="72"/>
      <c r="FF290" s="72"/>
      <c r="FG290" s="72"/>
      <c r="FH290" s="72"/>
      <c r="FI290" s="72"/>
      <c r="FJ290" s="72"/>
      <c r="FK290" s="72"/>
      <c r="FL290" s="72"/>
      <c r="FM290" s="72"/>
      <c r="FN290" s="72"/>
      <c r="FO290" s="72"/>
      <c r="FP290" s="72"/>
      <c r="FQ290" s="72"/>
      <c r="FR290" s="72"/>
      <c r="FS290" s="72"/>
      <c r="FT290" s="72"/>
      <c r="FU290" s="72"/>
      <c r="FV290" s="72"/>
    </row>
    <row r="291" spans="2:178" s="1" customFormat="1" ht="15.75">
      <c r="B291" s="41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c r="CI291" s="72"/>
      <c r="CJ291" s="72"/>
      <c r="CK291" s="72"/>
      <c r="CL291" s="72"/>
      <c r="CM291" s="72"/>
      <c r="CN291" s="72"/>
      <c r="CO291" s="72"/>
      <c r="CP291" s="72"/>
      <c r="CQ291" s="72"/>
      <c r="CR291" s="72"/>
      <c r="CS291" s="72"/>
      <c r="CT291" s="72"/>
      <c r="CU291" s="72"/>
      <c r="CV291" s="72"/>
      <c r="CW291" s="72"/>
      <c r="CX291" s="72"/>
      <c r="CY291" s="72"/>
      <c r="CZ291" s="72"/>
      <c r="DA291" s="72"/>
      <c r="DB291" s="72"/>
      <c r="DC291" s="72"/>
      <c r="DD291" s="72"/>
      <c r="DE291" s="72"/>
      <c r="DF291" s="72"/>
      <c r="DG291" s="72"/>
      <c r="DH291" s="72"/>
      <c r="DI291" s="72"/>
      <c r="DJ291" s="72"/>
      <c r="DK291" s="72"/>
      <c r="DL291" s="72"/>
      <c r="DM291" s="72"/>
      <c r="DN291" s="72"/>
      <c r="DO291" s="72"/>
      <c r="DP291" s="72"/>
      <c r="DQ291" s="72"/>
      <c r="DR291" s="72"/>
      <c r="DS291" s="72"/>
      <c r="DT291" s="72"/>
      <c r="DU291" s="72"/>
      <c r="DV291" s="72"/>
      <c r="DW291" s="72"/>
      <c r="DX291" s="72"/>
      <c r="DY291" s="72"/>
      <c r="DZ291" s="72"/>
      <c r="EA291" s="72"/>
      <c r="EB291" s="72"/>
      <c r="EC291" s="72"/>
      <c r="ED291" s="72"/>
      <c r="EE291" s="72"/>
      <c r="EF291" s="72"/>
      <c r="EG291" s="72"/>
      <c r="EH291" s="72"/>
      <c r="EI291" s="72"/>
      <c r="EJ291" s="72"/>
      <c r="EK291" s="72"/>
      <c r="EL291" s="72"/>
      <c r="EM291" s="72"/>
      <c r="EN291" s="72"/>
      <c r="EO291" s="72"/>
      <c r="EP291" s="72"/>
      <c r="EQ291" s="72"/>
      <c r="ER291" s="72"/>
      <c r="ES291" s="72"/>
      <c r="ET291" s="72"/>
      <c r="EU291" s="72"/>
      <c r="EV291" s="72"/>
      <c r="EW291" s="72"/>
      <c r="EX291" s="72"/>
      <c r="EY291" s="72"/>
      <c r="EZ291" s="72"/>
      <c r="FA291" s="72"/>
      <c r="FB291" s="72"/>
      <c r="FC291" s="72"/>
      <c r="FD291" s="72"/>
      <c r="FE291" s="72"/>
      <c r="FF291" s="72"/>
      <c r="FG291" s="72"/>
      <c r="FH291" s="72"/>
      <c r="FI291" s="72"/>
      <c r="FJ291" s="72"/>
      <c r="FK291" s="72"/>
      <c r="FL291" s="72"/>
      <c r="FM291" s="72"/>
      <c r="FN291" s="72"/>
      <c r="FO291" s="72"/>
      <c r="FP291" s="72"/>
      <c r="FQ291" s="72"/>
      <c r="FR291" s="72"/>
      <c r="FS291" s="72"/>
      <c r="FT291" s="72"/>
      <c r="FU291" s="72"/>
      <c r="FV291" s="72"/>
    </row>
    <row r="292" spans="2:178" s="1" customFormat="1" ht="15.75">
      <c r="B292" s="41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c r="BO292" s="72"/>
      <c r="BP292" s="72"/>
      <c r="BQ292" s="72"/>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c r="CX292" s="72"/>
      <c r="CY292" s="72"/>
      <c r="CZ292" s="72"/>
      <c r="DA292" s="72"/>
      <c r="DB292" s="72"/>
      <c r="DC292" s="72"/>
      <c r="DD292" s="72"/>
      <c r="DE292" s="72"/>
      <c r="DF292" s="72"/>
      <c r="DG292" s="72"/>
      <c r="DH292" s="72"/>
      <c r="DI292" s="72"/>
      <c r="DJ292" s="72"/>
      <c r="DK292" s="72"/>
      <c r="DL292" s="72"/>
      <c r="DM292" s="72"/>
      <c r="DN292" s="72"/>
      <c r="DO292" s="72"/>
      <c r="DP292" s="72"/>
      <c r="DQ292" s="72"/>
      <c r="DR292" s="72"/>
      <c r="DS292" s="72"/>
      <c r="DT292" s="72"/>
      <c r="DU292" s="72"/>
      <c r="DV292" s="72"/>
      <c r="DW292" s="72"/>
      <c r="DX292" s="72"/>
      <c r="DY292" s="72"/>
      <c r="DZ292" s="72"/>
      <c r="EA292" s="72"/>
      <c r="EB292" s="72"/>
      <c r="EC292" s="72"/>
      <c r="ED292" s="72"/>
      <c r="EE292" s="72"/>
      <c r="EF292" s="72"/>
      <c r="EG292" s="72"/>
      <c r="EH292" s="72"/>
      <c r="EI292" s="72"/>
      <c r="EJ292" s="72"/>
      <c r="EK292" s="72"/>
      <c r="EL292" s="72"/>
      <c r="EM292" s="72"/>
      <c r="EN292" s="72"/>
      <c r="EO292" s="72"/>
      <c r="EP292" s="72"/>
      <c r="EQ292" s="72"/>
      <c r="ER292" s="72"/>
      <c r="ES292" s="72"/>
      <c r="ET292" s="72"/>
      <c r="EU292" s="72"/>
      <c r="EV292" s="72"/>
      <c r="EW292" s="72"/>
      <c r="EX292" s="72"/>
      <c r="EY292" s="72"/>
      <c r="EZ292" s="72"/>
      <c r="FA292" s="72"/>
      <c r="FB292" s="72"/>
      <c r="FC292" s="72"/>
      <c r="FD292" s="72"/>
      <c r="FE292" s="72"/>
      <c r="FF292" s="72"/>
      <c r="FG292" s="72"/>
      <c r="FH292" s="72"/>
      <c r="FI292" s="72"/>
      <c r="FJ292" s="72"/>
      <c r="FK292" s="72"/>
      <c r="FL292" s="72"/>
      <c r="FM292" s="72"/>
      <c r="FN292" s="72"/>
      <c r="FO292" s="72"/>
      <c r="FP292" s="72"/>
      <c r="FQ292" s="72"/>
      <c r="FR292" s="72"/>
      <c r="FS292" s="72"/>
      <c r="FT292" s="72"/>
      <c r="FU292" s="72"/>
      <c r="FV292" s="72"/>
    </row>
    <row r="293" spans="2:178" s="1" customFormat="1" ht="15.75">
      <c r="B293" s="41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c r="CR293" s="72"/>
      <c r="CS293" s="72"/>
      <c r="CT293" s="72"/>
      <c r="CU293" s="72"/>
      <c r="CV293" s="72"/>
      <c r="CW293" s="72"/>
      <c r="CX293" s="72"/>
      <c r="CY293" s="72"/>
      <c r="CZ293" s="72"/>
      <c r="DA293" s="72"/>
      <c r="DB293" s="72"/>
      <c r="DC293" s="72"/>
      <c r="DD293" s="72"/>
      <c r="DE293" s="72"/>
      <c r="DF293" s="72"/>
      <c r="DG293" s="72"/>
      <c r="DH293" s="72"/>
      <c r="DI293" s="72"/>
      <c r="DJ293" s="72"/>
      <c r="DK293" s="72"/>
      <c r="DL293" s="72"/>
      <c r="DM293" s="72"/>
      <c r="DN293" s="72"/>
      <c r="DO293" s="72"/>
      <c r="DP293" s="72"/>
      <c r="DQ293" s="72"/>
      <c r="DR293" s="72"/>
      <c r="DS293" s="72"/>
      <c r="DT293" s="72"/>
      <c r="DU293" s="72"/>
      <c r="DV293" s="72"/>
      <c r="DW293" s="72"/>
      <c r="DX293" s="72"/>
      <c r="DY293" s="72"/>
      <c r="DZ293" s="72"/>
      <c r="EA293" s="72"/>
      <c r="EB293" s="72"/>
      <c r="EC293" s="72"/>
      <c r="ED293" s="72"/>
      <c r="EE293" s="72"/>
      <c r="EF293" s="72"/>
      <c r="EG293" s="72"/>
      <c r="EH293" s="72"/>
      <c r="EI293" s="72"/>
      <c r="EJ293" s="72"/>
      <c r="EK293" s="72"/>
      <c r="EL293" s="72"/>
      <c r="EM293" s="72"/>
      <c r="EN293" s="72"/>
      <c r="EO293" s="72"/>
      <c r="EP293" s="72"/>
      <c r="EQ293" s="72"/>
      <c r="ER293" s="72"/>
      <c r="ES293" s="72"/>
      <c r="ET293" s="72"/>
      <c r="EU293" s="72"/>
      <c r="EV293" s="72"/>
      <c r="EW293" s="72"/>
      <c r="EX293" s="72"/>
      <c r="EY293" s="72"/>
      <c r="EZ293" s="72"/>
      <c r="FA293" s="72"/>
      <c r="FB293" s="72"/>
      <c r="FC293" s="72"/>
      <c r="FD293" s="72"/>
      <c r="FE293" s="72"/>
      <c r="FF293" s="72"/>
      <c r="FG293" s="72"/>
      <c r="FH293" s="72"/>
      <c r="FI293" s="72"/>
      <c r="FJ293" s="72"/>
      <c r="FK293" s="72"/>
      <c r="FL293" s="72"/>
      <c r="FM293" s="72"/>
      <c r="FN293" s="72"/>
      <c r="FO293" s="72"/>
      <c r="FP293" s="72"/>
      <c r="FQ293" s="72"/>
      <c r="FR293" s="72"/>
      <c r="FS293" s="72"/>
      <c r="FT293" s="72"/>
      <c r="FU293" s="72"/>
      <c r="FV293" s="72"/>
    </row>
    <row r="294" spans="2:178" s="1" customFormat="1" ht="15.75">
      <c r="B294" s="41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c r="BO294" s="72"/>
      <c r="BP294" s="72"/>
      <c r="BQ294" s="72"/>
      <c r="BR294" s="72"/>
      <c r="BS294" s="72"/>
      <c r="BT294" s="72"/>
      <c r="BU294" s="72"/>
      <c r="BV294" s="72"/>
      <c r="BW294" s="72"/>
      <c r="BX294" s="72"/>
      <c r="BY294" s="72"/>
      <c r="BZ294" s="72"/>
      <c r="CA294" s="72"/>
      <c r="CB294" s="72"/>
      <c r="CC294" s="72"/>
      <c r="CD294" s="72"/>
      <c r="CE294" s="72"/>
      <c r="CF294" s="72"/>
      <c r="CG294" s="72"/>
      <c r="CH294" s="72"/>
      <c r="CI294" s="72"/>
      <c r="CJ294" s="72"/>
      <c r="CK294" s="72"/>
      <c r="CL294" s="72"/>
      <c r="CM294" s="72"/>
      <c r="CN294" s="72"/>
      <c r="CO294" s="72"/>
      <c r="CP294" s="72"/>
      <c r="CQ294" s="72"/>
      <c r="CR294" s="72"/>
      <c r="CS294" s="72"/>
      <c r="CT294" s="72"/>
      <c r="CU294" s="72"/>
      <c r="CV294" s="72"/>
      <c r="CW294" s="72"/>
      <c r="CX294" s="72"/>
      <c r="CY294" s="72"/>
      <c r="CZ294" s="72"/>
      <c r="DA294" s="72"/>
      <c r="DB294" s="72"/>
      <c r="DC294" s="72"/>
      <c r="DD294" s="72"/>
      <c r="DE294" s="72"/>
      <c r="DF294" s="72"/>
      <c r="DG294" s="72"/>
      <c r="DH294" s="72"/>
      <c r="DI294" s="72"/>
      <c r="DJ294" s="72"/>
      <c r="DK294" s="72"/>
      <c r="DL294" s="72"/>
      <c r="DM294" s="72"/>
      <c r="DN294" s="72"/>
      <c r="DO294" s="72"/>
      <c r="DP294" s="72"/>
      <c r="DQ294" s="72"/>
      <c r="DR294" s="72"/>
      <c r="DS294" s="72"/>
      <c r="DT294" s="72"/>
      <c r="DU294" s="72"/>
      <c r="DV294" s="72"/>
      <c r="DW294" s="72"/>
      <c r="DX294" s="72"/>
      <c r="DY294" s="72"/>
      <c r="DZ294" s="72"/>
      <c r="EA294" s="72"/>
      <c r="EB294" s="72"/>
      <c r="EC294" s="72"/>
      <c r="ED294" s="72"/>
      <c r="EE294" s="72"/>
      <c r="EF294" s="72"/>
      <c r="EG294" s="72"/>
      <c r="EH294" s="72"/>
      <c r="EI294" s="72"/>
      <c r="EJ294" s="72"/>
      <c r="EK294" s="72"/>
      <c r="EL294" s="72"/>
      <c r="EM294" s="72"/>
      <c r="EN294" s="72"/>
      <c r="EO294" s="72"/>
      <c r="EP294" s="72"/>
      <c r="EQ294" s="72"/>
      <c r="ER294" s="72"/>
      <c r="ES294" s="72"/>
      <c r="ET294" s="72"/>
      <c r="EU294" s="72"/>
      <c r="EV294" s="72"/>
      <c r="EW294" s="72"/>
      <c r="EX294" s="72"/>
      <c r="EY294" s="72"/>
      <c r="EZ294" s="72"/>
      <c r="FA294" s="72"/>
      <c r="FB294" s="72"/>
      <c r="FC294" s="72"/>
      <c r="FD294" s="72"/>
      <c r="FE294" s="72"/>
      <c r="FF294" s="72"/>
      <c r="FG294" s="72"/>
      <c r="FH294" s="72"/>
      <c r="FI294" s="72"/>
      <c r="FJ294" s="72"/>
      <c r="FK294" s="72"/>
      <c r="FL294" s="72"/>
      <c r="FM294" s="72"/>
      <c r="FN294" s="72"/>
      <c r="FO294" s="72"/>
      <c r="FP294" s="72"/>
      <c r="FQ294" s="72"/>
      <c r="FR294" s="72"/>
      <c r="FS294" s="72"/>
      <c r="FT294" s="72"/>
      <c r="FU294" s="72"/>
      <c r="FV294" s="72"/>
    </row>
    <row r="295" spans="2:178" s="1" customFormat="1" ht="15.75">
      <c r="B295" s="41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2"/>
      <c r="BZ295" s="72"/>
      <c r="CA295" s="72"/>
      <c r="CB295" s="72"/>
      <c r="CC295" s="72"/>
      <c r="CD295" s="72"/>
      <c r="CE295" s="72"/>
      <c r="CF295" s="72"/>
      <c r="CG295" s="72"/>
      <c r="CH295" s="72"/>
      <c r="CI295" s="72"/>
      <c r="CJ295" s="72"/>
      <c r="CK295" s="72"/>
      <c r="CL295" s="72"/>
      <c r="CM295" s="72"/>
      <c r="CN295" s="72"/>
      <c r="CO295" s="72"/>
      <c r="CP295" s="72"/>
      <c r="CQ295" s="72"/>
      <c r="CR295" s="72"/>
      <c r="CS295" s="72"/>
      <c r="CT295" s="72"/>
      <c r="CU295" s="72"/>
      <c r="CV295" s="72"/>
      <c r="CW295" s="72"/>
      <c r="CX295" s="72"/>
      <c r="CY295" s="72"/>
      <c r="CZ295" s="72"/>
      <c r="DA295" s="72"/>
      <c r="DB295" s="72"/>
      <c r="DC295" s="72"/>
      <c r="DD295" s="72"/>
      <c r="DE295" s="72"/>
      <c r="DF295" s="72"/>
      <c r="DG295" s="72"/>
      <c r="DH295" s="72"/>
      <c r="DI295" s="72"/>
      <c r="DJ295" s="72"/>
      <c r="DK295" s="72"/>
      <c r="DL295" s="72"/>
      <c r="DM295" s="72"/>
      <c r="DN295" s="72"/>
      <c r="DO295" s="72"/>
      <c r="DP295" s="72"/>
      <c r="DQ295" s="72"/>
      <c r="DR295" s="72"/>
      <c r="DS295" s="72"/>
      <c r="DT295" s="72"/>
      <c r="DU295" s="72"/>
      <c r="DV295" s="72"/>
      <c r="DW295" s="72"/>
      <c r="DX295" s="72"/>
      <c r="DY295" s="72"/>
      <c r="DZ295" s="72"/>
      <c r="EA295" s="72"/>
      <c r="EB295" s="72"/>
      <c r="EC295" s="72"/>
      <c r="ED295" s="72"/>
      <c r="EE295" s="72"/>
      <c r="EF295" s="72"/>
      <c r="EG295" s="72"/>
      <c r="EH295" s="72"/>
      <c r="EI295" s="72"/>
      <c r="EJ295" s="72"/>
      <c r="EK295" s="72"/>
      <c r="EL295" s="72"/>
      <c r="EM295" s="72"/>
      <c r="EN295" s="72"/>
      <c r="EO295" s="72"/>
      <c r="EP295" s="72"/>
      <c r="EQ295" s="72"/>
      <c r="ER295" s="72"/>
      <c r="ES295" s="72"/>
      <c r="ET295" s="72"/>
      <c r="EU295" s="72"/>
      <c r="EV295" s="72"/>
      <c r="EW295" s="72"/>
      <c r="EX295" s="72"/>
      <c r="EY295" s="72"/>
      <c r="EZ295" s="72"/>
      <c r="FA295" s="72"/>
      <c r="FB295" s="72"/>
      <c r="FC295" s="72"/>
      <c r="FD295" s="72"/>
      <c r="FE295" s="72"/>
      <c r="FF295" s="72"/>
      <c r="FG295" s="72"/>
      <c r="FH295" s="72"/>
      <c r="FI295" s="72"/>
      <c r="FJ295" s="72"/>
      <c r="FK295" s="72"/>
      <c r="FL295" s="72"/>
      <c r="FM295" s="72"/>
      <c r="FN295" s="72"/>
      <c r="FO295" s="72"/>
      <c r="FP295" s="72"/>
      <c r="FQ295" s="72"/>
      <c r="FR295" s="72"/>
      <c r="FS295" s="72"/>
      <c r="FT295" s="72"/>
      <c r="FU295" s="72"/>
      <c r="FV295" s="72"/>
    </row>
    <row r="296" spans="2:178" s="1" customFormat="1" ht="15.75">
      <c r="B296" s="41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c r="BO296" s="72"/>
      <c r="BP296" s="72"/>
      <c r="BQ296" s="72"/>
      <c r="BR296" s="72"/>
      <c r="BS296" s="72"/>
      <c r="BT296" s="72"/>
      <c r="BU296" s="72"/>
      <c r="BV296" s="72"/>
      <c r="BW296" s="72"/>
      <c r="BX296" s="72"/>
      <c r="BY296" s="72"/>
      <c r="BZ296" s="72"/>
      <c r="CA296" s="72"/>
      <c r="CB296" s="72"/>
      <c r="CC296" s="72"/>
      <c r="CD296" s="72"/>
      <c r="CE296" s="72"/>
      <c r="CF296" s="72"/>
      <c r="CG296" s="72"/>
      <c r="CH296" s="72"/>
      <c r="CI296" s="72"/>
      <c r="CJ296" s="72"/>
      <c r="CK296" s="72"/>
      <c r="CL296" s="72"/>
      <c r="CM296" s="72"/>
      <c r="CN296" s="72"/>
      <c r="CO296" s="72"/>
      <c r="CP296" s="72"/>
      <c r="CQ296" s="72"/>
      <c r="CR296" s="72"/>
      <c r="CS296" s="72"/>
      <c r="CT296" s="72"/>
      <c r="CU296" s="72"/>
      <c r="CV296" s="72"/>
      <c r="CW296" s="72"/>
      <c r="CX296" s="72"/>
      <c r="CY296" s="72"/>
      <c r="CZ296" s="72"/>
      <c r="DA296" s="72"/>
      <c r="DB296" s="72"/>
      <c r="DC296" s="72"/>
      <c r="DD296" s="72"/>
      <c r="DE296" s="72"/>
      <c r="DF296" s="72"/>
      <c r="DG296" s="72"/>
      <c r="DH296" s="72"/>
      <c r="DI296" s="72"/>
      <c r="DJ296" s="72"/>
      <c r="DK296" s="72"/>
      <c r="DL296" s="72"/>
      <c r="DM296" s="72"/>
      <c r="DN296" s="72"/>
      <c r="DO296" s="72"/>
      <c r="DP296" s="72"/>
      <c r="DQ296" s="72"/>
      <c r="DR296" s="72"/>
      <c r="DS296" s="72"/>
      <c r="DT296" s="72"/>
      <c r="DU296" s="72"/>
      <c r="DV296" s="72"/>
      <c r="DW296" s="72"/>
      <c r="DX296" s="72"/>
      <c r="DY296" s="72"/>
      <c r="DZ296" s="72"/>
      <c r="EA296" s="72"/>
      <c r="EB296" s="72"/>
      <c r="EC296" s="72"/>
      <c r="ED296" s="72"/>
      <c r="EE296" s="72"/>
      <c r="EF296" s="72"/>
      <c r="EG296" s="72"/>
      <c r="EH296" s="72"/>
      <c r="EI296" s="72"/>
      <c r="EJ296" s="72"/>
      <c r="EK296" s="72"/>
      <c r="EL296" s="72"/>
      <c r="EM296" s="72"/>
      <c r="EN296" s="72"/>
      <c r="EO296" s="72"/>
      <c r="EP296" s="72"/>
      <c r="EQ296" s="72"/>
      <c r="ER296" s="72"/>
      <c r="ES296" s="72"/>
      <c r="ET296" s="72"/>
      <c r="EU296" s="72"/>
      <c r="EV296" s="72"/>
      <c r="EW296" s="72"/>
      <c r="EX296" s="72"/>
      <c r="EY296" s="72"/>
      <c r="EZ296" s="72"/>
      <c r="FA296" s="72"/>
      <c r="FB296" s="72"/>
      <c r="FC296" s="72"/>
      <c r="FD296" s="72"/>
      <c r="FE296" s="72"/>
      <c r="FF296" s="72"/>
      <c r="FG296" s="72"/>
      <c r="FH296" s="72"/>
      <c r="FI296" s="72"/>
      <c r="FJ296" s="72"/>
      <c r="FK296" s="72"/>
      <c r="FL296" s="72"/>
      <c r="FM296" s="72"/>
      <c r="FN296" s="72"/>
      <c r="FO296" s="72"/>
      <c r="FP296" s="72"/>
      <c r="FQ296" s="72"/>
      <c r="FR296" s="72"/>
      <c r="FS296" s="72"/>
      <c r="FT296" s="72"/>
      <c r="FU296" s="72"/>
      <c r="FV296" s="72"/>
    </row>
    <row r="297" spans="2:178" s="1" customFormat="1" ht="15.75">
      <c r="B297" s="41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c r="BO297" s="72"/>
      <c r="BP297" s="72"/>
      <c r="BQ297" s="72"/>
      <c r="BR297" s="72"/>
      <c r="BS297" s="72"/>
      <c r="BT297" s="72"/>
      <c r="BU297" s="72"/>
      <c r="BV297" s="72"/>
      <c r="BW297" s="72"/>
      <c r="BX297" s="72"/>
      <c r="BY297" s="72"/>
      <c r="BZ297" s="72"/>
      <c r="CA297" s="72"/>
      <c r="CB297" s="72"/>
      <c r="CC297" s="72"/>
      <c r="CD297" s="72"/>
      <c r="CE297" s="72"/>
      <c r="CF297" s="72"/>
      <c r="CG297" s="72"/>
      <c r="CH297" s="72"/>
      <c r="CI297" s="72"/>
      <c r="CJ297" s="72"/>
      <c r="CK297" s="72"/>
      <c r="CL297" s="72"/>
      <c r="CM297" s="72"/>
      <c r="CN297" s="72"/>
      <c r="CO297" s="72"/>
      <c r="CP297" s="72"/>
      <c r="CQ297" s="72"/>
      <c r="CR297" s="72"/>
      <c r="CS297" s="72"/>
      <c r="CT297" s="72"/>
      <c r="CU297" s="72"/>
      <c r="CV297" s="72"/>
      <c r="CW297" s="72"/>
      <c r="CX297" s="72"/>
      <c r="CY297" s="72"/>
      <c r="CZ297" s="72"/>
      <c r="DA297" s="72"/>
      <c r="DB297" s="72"/>
      <c r="DC297" s="72"/>
      <c r="DD297" s="72"/>
      <c r="DE297" s="72"/>
      <c r="DF297" s="72"/>
      <c r="DG297" s="72"/>
      <c r="DH297" s="72"/>
      <c r="DI297" s="72"/>
      <c r="DJ297" s="72"/>
      <c r="DK297" s="72"/>
      <c r="DL297" s="72"/>
      <c r="DM297" s="72"/>
      <c r="DN297" s="72"/>
      <c r="DO297" s="72"/>
      <c r="DP297" s="72"/>
      <c r="DQ297" s="72"/>
      <c r="DR297" s="72"/>
      <c r="DS297" s="72"/>
      <c r="DT297" s="72"/>
      <c r="DU297" s="72"/>
      <c r="DV297" s="72"/>
      <c r="DW297" s="72"/>
      <c r="DX297" s="72"/>
      <c r="DY297" s="72"/>
      <c r="DZ297" s="72"/>
      <c r="EA297" s="72"/>
      <c r="EB297" s="72"/>
      <c r="EC297" s="72"/>
      <c r="ED297" s="72"/>
      <c r="EE297" s="72"/>
      <c r="EF297" s="72"/>
      <c r="EG297" s="72"/>
      <c r="EH297" s="72"/>
      <c r="EI297" s="72"/>
      <c r="EJ297" s="72"/>
      <c r="EK297" s="72"/>
      <c r="EL297" s="72"/>
      <c r="EM297" s="72"/>
      <c r="EN297" s="72"/>
      <c r="EO297" s="72"/>
      <c r="EP297" s="72"/>
      <c r="EQ297" s="72"/>
      <c r="ER297" s="72"/>
      <c r="ES297" s="72"/>
      <c r="ET297" s="72"/>
      <c r="EU297" s="72"/>
      <c r="EV297" s="72"/>
      <c r="EW297" s="72"/>
      <c r="EX297" s="72"/>
      <c r="EY297" s="72"/>
      <c r="EZ297" s="72"/>
      <c r="FA297" s="72"/>
      <c r="FB297" s="72"/>
      <c r="FC297" s="72"/>
      <c r="FD297" s="72"/>
      <c r="FE297" s="72"/>
      <c r="FF297" s="72"/>
      <c r="FG297" s="72"/>
      <c r="FH297" s="72"/>
      <c r="FI297" s="72"/>
      <c r="FJ297" s="72"/>
      <c r="FK297" s="72"/>
      <c r="FL297" s="72"/>
      <c r="FM297" s="72"/>
      <c r="FN297" s="72"/>
      <c r="FO297" s="72"/>
      <c r="FP297" s="72"/>
      <c r="FQ297" s="72"/>
      <c r="FR297" s="72"/>
      <c r="FS297" s="72"/>
      <c r="FT297" s="72"/>
      <c r="FU297" s="72"/>
      <c r="FV297" s="72"/>
    </row>
    <row r="298" spans="2:178" s="1" customFormat="1" ht="15.75">
      <c r="B298" s="41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c r="BO298" s="72"/>
      <c r="BP298" s="72"/>
      <c r="BQ298" s="72"/>
      <c r="BR298" s="72"/>
      <c r="BS298" s="72"/>
      <c r="BT298" s="72"/>
      <c r="BU298" s="72"/>
      <c r="BV298" s="72"/>
      <c r="BW298" s="72"/>
      <c r="BX298" s="72"/>
      <c r="BY298" s="72"/>
      <c r="BZ298" s="72"/>
      <c r="CA298" s="72"/>
      <c r="CB298" s="72"/>
      <c r="CC298" s="72"/>
      <c r="CD298" s="72"/>
      <c r="CE298" s="72"/>
      <c r="CF298" s="72"/>
      <c r="CG298" s="72"/>
      <c r="CH298" s="72"/>
      <c r="CI298" s="72"/>
      <c r="CJ298" s="72"/>
      <c r="CK298" s="72"/>
      <c r="CL298" s="72"/>
      <c r="CM298" s="72"/>
      <c r="CN298" s="72"/>
      <c r="CO298" s="72"/>
      <c r="CP298" s="72"/>
      <c r="CQ298" s="72"/>
      <c r="CR298" s="72"/>
      <c r="CS298" s="72"/>
      <c r="CT298" s="72"/>
      <c r="CU298" s="72"/>
      <c r="CV298" s="72"/>
      <c r="CW298" s="72"/>
      <c r="CX298" s="72"/>
      <c r="CY298" s="72"/>
      <c r="CZ298" s="72"/>
      <c r="DA298" s="72"/>
      <c r="DB298" s="72"/>
      <c r="DC298" s="72"/>
      <c r="DD298" s="72"/>
      <c r="DE298" s="72"/>
      <c r="DF298" s="72"/>
      <c r="DG298" s="72"/>
      <c r="DH298" s="72"/>
      <c r="DI298" s="72"/>
      <c r="DJ298" s="72"/>
      <c r="DK298" s="72"/>
      <c r="DL298" s="72"/>
      <c r="DM298" s="72"/>
      <c r="DN298" s="72"/>
      <c r="DO298" s="72"/>
      <c r="DP298" s="72"/>
      <c r="DQ298" s="72"/>
      <c r="DR298" s="72"/>
      <c r="DS298" s="72"/>
      <c r="DT298" s="72"/>
      <c r="DU298" s="72"/>
      <c r="DV298" s="72"/>
      <c r="DW298" s="72"/>
      <c r="DX298" s="72"/>
      <c r="DY298" s="72"/>
      <c r="DZ298" s="72"/>
      <c r="EA298" s="72"/>
      <c r="EB298" s="72"/>
      <c r="EC298" s="72"/>
      <c r="ED298" s="72"/>
      <c r="EE298" s="72"/>
      <c r="EF298" s="72"/>
      <c r="EG298" s="72"/>
      <c r="EH298" s="72"/>
      <c r="EI298" s="72"/>
      <c r="EJ298" s="72"/>
      <c r="EK298" s="72"/>
      <c r="EL298" s="72"/>
      <c r="EM298" s="72"/>
      <c r="EN298" s="72"/>
      <c r="EO298" s="72"/>
      <c r="EP298" s="72"/>
      <c r="EQ298" s="72"/>
      <c r="ER298" s="72"/>
      <c r="ES298" s="72"/>
      <c r="ET298" s="72"/>
      <c r="EU298" s="72"/>
      <c r="EV298" s="72"/>
      <c r="EW298" s="72"/>
      <c r="EX298" s="72"/>
      <c r="EY298" s="72"/>
      <c r="EZ298" s="72"/>
      <c r="FA298" s="72"/>
      <c r="FB298" s="72"/>
      <c r="FC298" s="72"/>
      <c r="FD298" s="72"/>
      <c r="FE298" s="72"/>
      <c r="FF298" s="72"/>
      <c r="FG298" s="72"/>
      <c r="FH298" s="72"/>
      <c r="FI298" s="72"/>
      <c r="FJ298" s="72"/>
      <c r="FK298" s="72"/>
      <c r="FL298" s="72"/>
      <c r="FM298" s="72"/>
      <c r="FN298" s="72"/>
      <c r="FO298" s="72"/>
      <c r="FP298" s="72"/>
      <c r="FQ298" s="72"/>
      <c r="FR298" s="72"/>
      <c r="FS298" s="72"/>
      <c r="FT298" s="72"/>
      <c r="FU298" s="72"/>
      <c r="FV298" s="72"/>
    </row>
    <row r="299" spans="2:178" s="1" customFormat="1" ht="15.75">
      <c r="B299" s="41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c r="BO299" s="72"/>
      <c r="BP299" s="72"/>
      <c r="BQ299" s="72"/>
      <c r="BR299" s="72"/>
      <c r="BS299" s="72"/>
      <c r="BT299" s="72"/>
      <c r="BU299" s="72"/>
      <c r="BV299" s="72"/>
      <c r="BW299" s="72"/>
      <c r="BX299" s="72"/>
      <c r="BY299" s="72"/>
      <c r="BZ299" s="72"/>
      <c r="CA299" s="72"/>
      <c r="CB299" s="72"/>
      <c r="CC299" s="72"/>
      <c r="CD299" s="72"/>
      <c r="CE299" s="72"/>
      <c r="CF299" s="72"/>
      <c r="CG299" s="72"/>
      <c r="CH299" s="72"/>
      <c r="CI299" s="72"/>
      <c r="CJ299" s="72"/>
      <c r="CK299" s="72"/>
      <c r="CL299" s="72"/>
      <c r="CM299" s="72"/>
      <c r="CN299" s="72"/>
      <c r="CO299" s="72"/>
      <c r="CP299" s="72"/>
      <c r="CQ299" s="72"/>
      <c r="CR299" s="72"/>
      <c r="CS299" s="72"/>
      <c r="CT299" s="72"/>
      <c r="CU299" s="72"/>
      <c r="CV299" s="72"/>
      <c r="CW299" s="72"/>
      <c r="CX299" s="72"/>
      <c r="CY299" s="72"/>
      <c r="CZ299" s="72"/>
      <c r="DA299" s="72"/>
      <c r="DB299" s="72"/>
      <c r="DC299" s="72"/>
      <c r="DD299" s="72"/>
      <c r="DE299" s="72"/>
      <c r="DF299" s="72"/>
      <c r="DG299" s="72"/>
      <c r="DH299" s="72"/>
      <c r="DI299" s="72"/>
      <c r="DJ299" s="72"/>
      <c r="DK299" s="72"/>
      <c r="DL299" s="72"/>
      <c r="DM299" s="72"/>
      <c r="DN299" s="72"/>
      <c r="DO299" s="72"/>
      <c r="DP299" s="72"/>
      <c r="DQ299" s="72"/>
      <c r="DR299" s="72"/>
      <c r="DS299" s="72"/>
      <c r="DT299" s="72"/>
      <c r="DU299" s="72"/>
      <c r="DV299" s="72"/>
      <c r="DW299" s="72"/>
      <c r="DX299" s="72"/>
      <c r="DY299" s="72"/>
      <c r="DZ299" s="72"/>
      <c r="EA299" s="72"/>
      <c r="EB299" s="72"/>
      <c r="EC299" s="72"/>
      <c r="ED299" s="72"/>
      <c r="EE299" s="72"/>
      <c r="EF299" s="72"/>
      <c r="EG299" s="72"/>
      <c r="EH299" s="72"/>
      <c r="EI299" s="72"/>
      <c r="EJ299" s="72"/>
      <c r="EK299" s="72"/>
      <c r="EL299" s="72"/>
      <c r="EM299" s="72"/>
      <c r="EN299" s="72"/>
      <c r="EO299" s="72"/>
      <c r="EP299" s="72"/>
      <c r="EQ299" s="72"/>
      <c r="ER299" s="72"/>
      <c r="ES299" s="72"/>
      <c r="ET299" s="72"/>
      <c r="EU299" s="72"/>
      <c r="EV299" s="72"/>
      <c r="EW299" s="72"/>
      <c r="EX299" s="72"/>
      <c r="EY299" s="72"/>
      <c r="EZ299" s="72"/>
      <c r="FA299" s="72"/>
      <c r="FB299" s="72"/>
      <c r="FC299" s="72"/>
      <c r="FD299" s="72"/>
      <c r="FE299" s="72"/>
      <c r="FF299" s="72"/>
      <c r="FG299" s="72"/>
      <c r="FH299" s="72"/>
      <c r="FI299" s="72"/>
      <c r="FJ299" s="72"/>
      <c r="FK299" s="72"/>
      <c r="FL299" s="72"/>
      <c r="FM299" s="72"/>
      <c r="FN299" s="72"/>
      <c r="FO299" s="72"/>
      <c r="FP299" s="72"/>
      <c r="FQ299" s="72"/>
      <c r="FR299" s="72"/>
      <c r="FS299" s="72"/>
      <c r="FT299" s="72"/>
      <c r="FU299" s="72"/>
      <c r="FV299" s="72"/>
    </row>
    <row r="300" spans="2:178" s="1" customFormat="1" ht="15.75">
      <c r="B300" s="41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c r="BO300" s="72"/>
      <c r="BP300" s="72"/>
      <c r="BQ300" s="72"/>
      <c r="BR300" s="72"/>
      <c r="BS300" s="72"/>
      <c r="BT300" s="72"/>
      <c r="BU300" s="72"/>
      <c r="BV300" s="72"/>
      <c r="BW300" s="72"/>
      <c r="BX300" s="72"/>
      <c r="BY300" s="72"/>
      <c r="BZ300" s="72"/>
      <c r="CA300" s="72"/>
      <c r="CB300" s="72"/>
      <c r="CC300" s="72"/>
      <c r="CD300" s="72"/>
      <c r="CE300" s="72"/>
      <c r="CF300" s="72"/>
      <c r="CG300" s="72"/>
      <c r="CH300" s="72"/>
      <c r="CI300" s="72"/>
      <c r="CJ300" s="72"/>
      <c r="CK300" s="72"/>
      <c r="CL300" s="72"/>
      <c r="CM300" s="72"/>
      <c r="CN300" s="72"/>
      <c r="CO300" s="72"/>
      <c r="CP300" s="72"/>
      <c r="CQ300" s="72"/>
      <c r="CR300" s="72"/>
      <c r="CS300" s="72"/>
      <c r="CT300" s="72"/>
      <c r="CU300" s="72"/>
      <c r="CV300" s="72"/>
      <c r="CW300" s="72"/>
      <c r="CX300" s="72"/>
      <c r="CY300" s="72"/>
      <c r="CZ300" s="72"/>
      <c r="DA300" s="72"/>
      <c r="DB300" s="72"/>
      <c r="DC300" s="72"/>
      <c r="DD300" s="72"/>
      <c r="DE300" s="72"/>
      <c r="DF300" s="72"/>
      <c r="DG300" s="72"/>
      <c r="DH300" s="72"/>
      <c r="DI300" s="72"/>
      <c r="DJ300" s="72"/>
      <c r="DK300" s="72"/>
      <c r="DL300" s="72"/>
      <c r="DM300" s="72"/>
      <c r="DN300" s="72"/>
      <c r="DO300" s="72"/>
      <c r="DP300" s="72"/>
      <c r="DQ300" s="72"/>
      <c r="DR300" s="72"/>
      <c r="DS300" s="72"/>
      <c r="DT300" s="72"/>
      <c r="DU300" s="72"/>
      <c r="DV300" s="72"/>
      <c r="DW300" s="72"/>
      <c r="DX300" s="72"/>
      <c r="DY300" s="72"/>
      <c r="DZ300" s="72"/>
      <c r="EA300" s="72"/>
      <c r="EB300" s="72"/>
      <c r="EC300" s="72"/>
      <c r="ED300" s="72"/>
      <c r="EE300" s="72"/>
      <c r="EF300" s="72"/>
      <c r="EG300" s="72"/>
      <c r="EH300" s="72"/>
      <c r="EI300" s="72"/>
      <c r="EJ300" s="72"/>
      <c r="EK300" s="72"/>
      <c r="EL300" s="72"/>
      <c r="EM300" s="72"/>
      <c r="EN300" s="72"/>
      <c r="EO300" s="72"/>
      <c r="EP300" s="72"/>
      <c r="EQ300" s="72"/>
      <c r="ER300" s="72"/>
      <c r="ES300" s="72"/>
      <c r="ET300" s="72"/>
      <c r="EU300" s="72"/>
      <c r="EV300" s="72"/>
      <c r="EW300" s="72"/>
      <c r="EX300" s="72"/>
      <c r="EY300" s="72"/>
      <c r="EZ300" s="72"/>
      <c r="FA300" s="72"/>
      <c r="FB300" s="72"/>
      <c r="FC300" s="72"/>
      <c r="FD300" s="72"/>
      <c r="FE300" s="72"/>
      <c r="FF300" s="72"/>
      <c r="FG300" s="72"/>
      <c r="FH300" s="72"/>
      <c r="FI300" s="72"/>
      <c r="FJ300" s="72"/>
      <c r="FK300" s="72"/>
      <c r="FL300" s="72"/>
      <c r="FM300" s="72"/>
      <c r="FN300" s="72"/>
      <c r="FO300" s="72"/>
      <c r="FP300" s="72"/>
      <c r="FQ300" s="72"/>
      <c r="FR300" s="72"/>
      <c r="FS300" s="72"/>
      <c r="FT300" s="72"/>
      <c r="FU300" s="72"/>
      <c r="FV300" s="72"/>
    </row>
    <row r="301" spans="2:178" s="1" customFormat="1" ht="15.75">
      <c r="B301" s="41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c r="BO301" s="72"/>
      <c r="BP301" s="72"/>
      <c r="BQ301" s="72"/>
      <c r="BR301" s="72"/>
      <c r="BS301" s="72"/>
      <c r="BT301" s="72"/>
      <c r="BU301" s="72"/>
      <c r="BV301" s="72"/>
      <c r="BW301" s="72"/>
      <c r="BX301" s="72"/>
      <c r="BY301" s="72"/>
      <c r="BZ301" s="72"/>
      <c r="CA301" s="72"/>
      <c r="CB301" s="72"/>
      <c r="CC301" s="72"/>
      <c r="CD301" s="72"/>
      <c r="CE301" s="72"/>
      <c r="CF301" s="72"/>
      <c r="CG301" s="72"/>
      <c r="CH301" s="72"/>
      <c r="CI301" s="72"/>
      <c r="CJ301" s="72"/>
      <c r="CK301" s="72"/>
      <c r="CL301" s="72"/>
      <c r="CM301" s="72"/>
      <c r="CN301" s="72"/>
      <c r="CO301" s="72"/>
      <c r="CP301" s="72"/>
      <c r="CQ301" s="72"/>
      <c r="CR301" s="72"/>
      <c r="CS301" s="72"/>
      <c r="CT301" s="72"/>
      <c r="CU301" s="72"/>
      <c r="CV301" s="72"/>
      <c r="CW301" s="72"/>
      <c r="CX301" s="72"/>
      <c r="CY301" s="72"/>
      <c r="CZ301" s="72"/>
      <c r="DA301" s="72"/>
      <c r="DB301" s="72"/>
      <c r="DC301" s="72"/>
      <c r="DD301" s="72"/>
      <c r="DE301" s="72"/>
      <c r="DF301" s="72"/>
      <c r="DG301" s="72"/>
      <c r="DH301" s="72"/>
      <c r="DI301" s="72"/>
      <c r="DJ301" s="72"/>
      <c r="DK301" s="72"/>
      <c r="DL301" s="72"/>
      <c r="DM301" s="72"/>
      <c r="DN301" s="72"/>
      <c r="DO301" s="72"/>
      <c r="DP301" s="72"/>
      <c r="DQ301" s="72"/>
      <c r="DR301" s="72"/>
      <c r="DS301" s="72"/>
      <c r="DT301" s="72"/>
      <c r="DU301" s="72"/>
      <c r="DV301" s="72"/>
      <c r="DW301" s="72"/>
      <c r="DX301" s="72"/>
      <c r="DY301" s="72"/>
      <c r="DZ301" s="72"/>
      <c r="EA301" s="72"/>
      <c r="EB301" s="72"/>
      <c r="EC301" s="72"/>
      <c r="ED301" s="72"/>
      <c r="EE301" s="72"/>
      <c r="EF301" s="72"/>
      <c r="EG301" s="72"/>
      <c r="EH301" s="72"/>
      <c r="EI301" s="72"/>
      <c r="EJ301" s="72"/>
      <c r="EK301" s="72"/>
      <c r="EL301" s="72"/>
      <c r="EM301" s="72"/>
      <c r="EN301" s="72"/>
      <c r="EO301" s="72"/>
      <c r="EP301" s="72"/>
      <c r="EQ301" s="72"/>
      <c r="ER301" s="72"/>
      <c r="ES301" s="72"/>
      <c r="ET301" s="72"/>
      <c r="EU301" s="72"/>
      <c r="EV301" s="72"/>
      <c r="EW301" s="72"/>
      <c r="EX301" s="72"/>
      <c r="EY301" s="72"/>
      <c r="EZ301" s="72"/>
      <c r="FA301" s="72"/>
      <c r="FB301" s="72"/>
      <c r="FC301" s="72"/>
      <c r="FD301" s="72"/>
      <c r="FE301" s="72"/>
      <c r="FF301" s="72"/>
      <c r="FG301" s="72"/>
      <c r="FH301" s="72"/>
      <c r="FI301" s="72"/>
      <c r="FJ301" s="72"/>
      <c r="FK301" s="72"/>
      <c r="FL301" s="72"/>
      <c r="FM301" s="72"/>
      <c r="FN301" s="72"/>
      <c r="FO301" s="72"/>
      <c r="FP301" s="72"/>
      <c r="FQ301" s="72"/>
      <c r="FR301" s="72"/>
      <c r="FS301" s="72"/>
      <c r="FT301" s="72"/>
      <c r="FU301" s="72"/>
      <c r="FV301" s="72"/>
    </row>
    <row r="302" spans="2:178" s="1" customFormat="1" ht="15.75">
      <c r="B302" s="41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c r="CA302" s="72"/>
      <c r="CB302" s="72"/>
      <c r="CC302" s="72"/>
      <c r="CD302" s="72"/>
      <c r="CE302" s="72"/>
      <c r="CF302" s="72"/>
      <c r="CG302" s="72"/>
      <c r="CH302" s="72"/>
      <c r="CI302" s="72"/>
      <c r="CJ302" s="72"/>
      <c r="CK302" s="72"/>
      <c r="CL302" s="72"/>
      <c r="CM302" s="72"/>
      <c r="CN302" s="72"/>
      <c r="CO302" s="72"/>
      <c r="CP302" s="72"/>
      <c r="CQ302" s="72"/>
      <c r="CR302" s="72"/>
      <c r="CS302" s="72"/>
      <c r="CT302" s="72"/>
      <c r="CU302" s="72"/>
      <c r="CV302" s="72"/>
      <c r="CW302" s="72"/>
      <c r="CX302" s="72"/>
      <c r="CY302" s="72"/>
      <c r="CZ302" s="72"/>
      <c r="DA302" s="72"/>
      <c r="DB302" s="72"/>
      <c r="DC302" s="72"/>
      <c r="DD302" s="72"/>
      <c r="DE302" s="72"/>
      <c r="DF302" s="72"/>
      <c r="DG302" s="72"/>
      <c r="DH302" s="72"/>
      <c r="DI302" s="72"/>
      <c r="DJ302" s="72"/>
      <c r="DK302" s="72"/>
      <c r="DL302" s="72"/>
      <c r="DM302" s="72"/>
      <c r="DN302" s="72"/>
      <c r="DO302" s="72"/>
      <c r="DP302" s="72"/>
      <c r="DQ302" s="72"/>
      <c r="DR302" s="72"/>
      <c r="DS302" s="72"/>
      <c r="DT302" s="72"/>
      <c r="DU302" s="72"/>
      <c r="DV302" s="72"/>
      <c r="DW302" s="72"/>
      <c r="DX302" s="72"/>
      <c r="DY302" s="72"/>
      <c r="DZ302" s="72"/>
      <c r="EA302" s="72"/>
      <c r="EB302" s="72"/>
      <c r="EC302" s="72"/>
      <c r="ED302" s="72"/>
      <c r="EE302" s="72"/>
      <c r="EF302" s="72"/>
      <c r="EG302" s="72"/>
      <c r="EH302" s="72"/>
      <c r="EI302" s="72"/>
      <c r="EJ302" s="72"/>
      <c r="EK302" s="72"/>
      <c r="EL302" s="72"/>
      <c r="EM302" s="72"/>
      <c r="EN302" s="72"/>
      <c r="EO302" s="72"/>
      <c r="EP302" s="72"/>
      <c r="EQ302" s="72"/>
      <c r="ER302" s="72"/>
      <c r="ES302" s="72"/>
      <c r="ET302" s="72"/>
      <c r="EU302" s="72"/>
      <c r="EV302" s="72"/>
      <c r="EW302" s="72"/>
      <c r="EX302" s="72"/>
      <c r="EY302" s="72"/>
      <c r="EZ302" s="72"/>
      <c r="FA302" s="72"/>
      <c r="FB302" s="72"/>
      <c r="FC302" s="72"/>
      <c r="FD302" s="72"/>
      <c r="FE302" s="72"/>
      <c r="FF302" s="72"/>
      <c r="FG302" s="72"/>
      <c r="FH302" s="72"/>
      <c r="FI302" s="72"/>
      <c r="FJ302" s="72"/>
      <c r="FK302" s="72"/>
      <c r="FL302" s="72"/>
      <c r="FM302" s="72"/>
      <c r="FN302" s="72"/>
      <c r="FO302" s="72"/>
      <c r="FP302" s="72"/>
      <c r="FQ302" s="72"/>
      <c r="FR302" s="72"/>
      <c r="FS302" s="72"/>
      <c r="FT302" s="72"/>
      <c r="FU302" s="72"/>
      <c r="FV302" s="72"/>
    </row>
    <row r="303" spans="2:178" s="1" customFormat="1" ht="15.75">
      <c r="B303" s="41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c r="CA303" s="72"/>
      <c r="CB303" s="72"/>
      <c r="CC303" s="72"/>
      <c r="CD303" s="72"/>
      <c r="CE303" s="72"/>
      <c r="CF303" s="72"/>
      <c r="CG303" s="72"/>
      <c r="CH303" s="72"/>
      <c r="CI303" s="72"/>
      <c r="CJ303" s="72"/>
      <c r="CK303" s="72"/>
      <c r="CL303" s="72"/>
      <c r="CM303" s="72"/>
      <c r="CN303" s="72"/>
      <c r="CO303" s="72"/>
      <c r="CP303" s="72"/>
      <c r="CQ303" s="72"/>
      <c r="CR303" s="72"/>
      <c r="CS303" s="72"/>
      <c r="CT303" s="72"/>
      <c r="CU303" s="72"/>
      <c r="CV303" s="72"/>
      <c r="CW303" s="72"/>
      <c r="CX303" s="72"/>
      <c r="CY303" s="72"/>
      <c r="CZ303" s="72"/>
      <c r="DA303" s="72"/>
      <c r="DB303" s="72"/>
      <c r="DC303" s="72"/>
      <c r="DD303" s="72"/>
      <c r="DE303" s="72"/>
      <c r="DF303" s="72"/>
      <c r="DG303" s="72"/>
      <c r="DH303" s="72"/>
      <c r="DI303" s="72"/>
      <c r="DJ303" s="72"/>
      <c r="DK303" s="72"/>
      <c r="DL303" s="72"/>
      <c r="DM303" s="72"/>
      <c r="DN303" s="72"/>
      <c r="DO303" s="72"/>
      <c r="DP303" s="72"/>
      <c r="DQ303" s="72"/>
      <c r="DR303" s="72"/>
      <c r="DS303" s="72"/>
      <c r="DT303" s="72"/>
      <c r="DU303" s="72"/>
      <c r="DV303" s="72"/>
      <c r="DW303" s="72"/>
      <c r="DX303" s="72"/>
      <c r="DY303" s="72"/>
      <c r="DZ303" s="72"/>
      <c r="EA303" s="72"/>
      <c r="EB303" s="72"/>
      <c r="EC303" s="72"/>
      <c r="ED303" s="72"/>
      <c r="EE303" s="72"/>
      <c r="EF303" s="72"/>
      <c r="EG303" s="72"/>
      <c r="EH303" s="72"/>
      <c r="EI303" s="72"/>
      <c r="EJ303" s="72"/>
      <c r="EK303" s="72"/>
      <c r="EL303" s="72"/>
      <c r="EM303" s="72"/>
      <c r="EN303" s="72"/>
      <c r="EO303" s="72"/>
      <c r="EP303" s="72"/>
      <c r="EQ303" s="72"/>
      <c r="ER303" s="72"/>
      <c r="ES303" s="72"/>
      <c r="ET303" s="72"/>
      <c r="EU303" s="72"/>
      <c r="EV303" s="72"/>
      <c r="EW303" s="72"/>
      <c r="EX303" s="72"/>
      <c r="EY303" s="72"/>
      <c r="EZ303" s="72"/>
      <c r="FA303" s="72"/>
      <c r="FB303" s="72"/>
      <c r="FC303" s="72"/>
      <c r="FD303" s="72"/>
      <c r="FE303" s="72"/>
      <c r="FF303" s="72"/>
      <c r="FG303" s="72"/>
      <c r="FH303" s="72"/>
      <c r="FI303" s="72"/>
      <c r="FJ303" s="72"/>
      <c r="FK303" s="72"/>
      <c r="FL303" s="72"/>
      <c r="FM303" s="72"/>
      <c r="FN303" s="72"/>
      <c r="FO303" s="72"/>
      <c r="FP303" s="72"/>
      <c r="FQ303" s="72"/>
      <c r="FR303" s="72"/>
      <c r="FS303" s="72"/>
      <c r="FT303" s="72"/>
      <c r="FU303" s="72"/>
      <c r="FV303" s="72"/>
    </row>
    <row r="304" spans="2:178" s="1" customFormat="1" ht="15.75">
      <c r="B304" s="41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72"/>
      <c r="CB304" s="72"/>
      <c r="CC304" s="72"/>
      <c r="CD304" s="72"/>
      <c r="CE304" s="72"/>
      <c r="CF304" s="72"/>
      <c r="CG304" s="72"/>
      <c r="CH304" s="72"/>
      <c r="CI304" s="72"/>
      <c r="CJ304" s="72"/>
      <c r="CK304" s="72"/>
      <c r="CL304" s="72"/>
      <c r="CM304" s="72"/>
      <c r="CN304" s="72"/>
      <c r="CO304" s="72"/>
      <c r="CP304" s="72"/>
      <c r="CQ304" s="72"/>
      <c r="CR304" s="72"/>
      <c r="CS304" s="72"/>
      <c r="CT304" s="72"/>
      <c r="CU304" s="72"/>
      <c r="CV304" s="72"/>
      <c r="CW304" s="72"/>
      <c r="CX304" s="72"/>
      <c r="CY304" s="72"/>
      <c r="CZ304" s="72"/>
      <c r="DA304" s="72"/>
      <c r="DB304" s="72"/>
      <c r="DC304" s="72"/>
      <c r="DD304" s="72"/>
      <c r="DE304" s="72"/>
      <c r="DF304" s="72"/>
      <c r="DG304" s="72"/>
      <c r="DH304" s="72"/>
      <c r="DI304" s="72"/>
      <c r="DJ304" s="72"/>
      <c r="DK304" s="72"/>
      <c r="DL304" s="72"/>
      <c r="DM304" s="72"/>
      <c r="DN304" s="72"/>
      <c r="DO304" s="72"/>
      <c r="DP304" s="72"/>
      <c r="DQ304" s="72"/>
      <c r="DR304" s="72"/>
      <c r="DS304" s="72"/>
      <c r="DT304" s="72"/>
      <c r="DU304" s="72"/>
      <c r="DV304" s="72"/>
      <c r="DW304" s="72"/>
      <c r="DX304" s="72"/>
      <c r="DY304" s="72"/>
      <c r="DZ304" s="72"/>
      <c r="EA304" s="72"/>
      <c r="EB304" s="72"/>
      <c r="EC304" s="72"/>
      <c r="ED304" s="72"/>
      <c r="EE304" s="72"/>
      <c r="EF304" s="72"/>
      <c r="EG304" s="72"/>
      <c r="EH304" s="72"/>
      <c r="EI304" s="72"/>
      <c r="EJ304" s="72"/>
      <c r="EK304" s="72"/>
      <c r="EL304" s="72"/>
      <c r="EM304" s="72"/>
      <c r="EN304" s="72"/>
      <c r="EO304" s="72"/>
      <c r="EP304" s="72"/>
      <c r="EQ304" s="72"/>
      <c r="ER304" s="72"/>
      <c r="ES304" s="72"/>
      <c r="ET304" s="72"/>
      <c r="EU304" s="72"/>
      <c r="EV304" s="72"/>
      <c r="EW304" s="72"/>
      <c r="EX304" s="72"/>
      <c r="EY304" s="72"/>
      <c r="EZ304" s="72"/>
      <c r="FA304" s="72"/>
      <c r="FB304" s="72"/>
      <c r="FC304" s="72"/>
      <c r="FD304" s="72"/>
      <c r="FE304" s="72"/>
      <c r="FF304" s="72"/>
      <c r="FG304" s="72"/>
      <c r="FH304" s="72"/>
      <c r="FI304" s="72"/>
      <c r="FJ304" s="72"/>
      <c r="FK304" s="72"/>
      <c r="FL304" s="72"/>
      <c r="FM304" s="72"/>
      <c r="FN304" s="72"/>
      <c r="FO304" s="72"/>
      <c r="FP304" s="72"/>
      <c r="FQ304" s="72"/>
      <c r="FR304" s="72"/>
      <c r="FS304" s="72"/>
      <c r="FT304" s="72"/>
      <c r="FU304" s="72"/>
      <c r="FV304" s="72"/>
    </row>
    <row r="305" spans="2:178" s="1" customFormat="1" ht="15.75">
      <c r="B305" s="41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c r="BO305" s="72"/>
      <c r="BP305" s="72"/>
      <c r="BQ305" s="72"/>
      <c r="BR305" s="72"/>
      <c r="BS305" s="72"/>
      <c r="BT305" s="72"/>
      <c r="BU305" s="72"/>
      <c r="BV305" s="72"/>
      <c r="BW305" s="72"/>
      <c r="BX305" s="72"/>
      <c r="BY305" s="72"/>
      <c r="BZ305" s="72"/>
      <c r="CA305" s="72"/>
      <c r="CB305" s="72"/>
      <c r="CC305" s="72"/>
      <c r="CD305" s="72"/>
      <c r="CE305" s="72"/>
      <c r="CF305" s="72"/>
      <c r="CG305" s="72"/>
      <c r="CH305" s="72"/>
      <c r="CI305" s="72"/>
      <c r="CJ305" s="72"/>
      <c r="CK305" s="72"/>
      <c r="CL305" s="72"/>
      <c r="CM305" s="72"/>
      <c r="CN305" s="72"/>
      <c r="CO305" s="72"/>
      <c r="CP305" s="72"/>
      <c r="CQ305" s="72"/>
      <c r="CR305" s="72"/>
      <c r="CS305" s="72"/>
      <c r="CT305" s="72"/>
      <c r="CU305" s="72"/>
      <c r="CV305" s="72"/>
      <c r="CW305" s="72"/>
      <c r="CX305" s="72"/>
      <c r="CY305" s="72"/>
      <c r="CZ305" s="72"/>
      <c r="DA305" s="72"/>
      <c r="DB305" s="72"/>
      <c r="DC305" s="72"/>
      <c r="DD305" s="72"/>
      <c r="DE305" s="72"/>
      <c r="DF305" s="72"/>
      <c r="DG305" s="72"/>
      <c r="DH305" s="72"/>
      <c r="DI305" s="72"/>
      <c r="DJ305" s="72"/>
      <c r="DK305" s="72"/>
      <c r="DL305" s="72"/>
      <c r="DM305" s="72"/>
      <c r="DN305" s="72"/>
      <c r="DO305" s="72"/>
      <c r="DP305" s="72"/>
      <c r="DQ305" s="72"/>
      <c r="DR305" s="72"/>
      <c r="DS305" s="72"/>
      <c r="DT305" s="72"/>
      <c r="DU305" s="72"/>
      <c r="DV305" s="72"/>
      <c r="DW305" s="72"/>
      <c r="DX305" s="72"/>
      <c r="DY305" s="72"/>
      <c r="DZ305" s="72"/>
      <c r="EA305" s="72"/>
      <c r="EB305" s="72"/>
      <c r="EC305" s="72"/>
      <c r="ED305" s="72"/>
      <c r="EE305" s="72"/>
      <c r="EF305" s="72"/>
      <c r="EG305" s="72"/>
      <c r="EH305" s="72"/>
      <c r="EI305" s="72"/>
      <c r="EJ305" s="72"/>
      <c r="EK305" s="72"/>
      <c r="EL305" s="72"/>
      <c r="EM305" s="72"/>
      <c r="EN305" s="72"/>
      <c r="EO305" s="72"/>
      <c r="EP305" s="72"/>
      <c r="EQ305" s="72"/>
      <c r="ER305" s="72"/>
      <c r="ES305" s="72"/>
      <c r="ET305" s="72"/>
      <c r="EU305" s="72"/>
      <c r="EV305" s="72"/>
      <c r="EW305" s="72"/>
      <c r="EX305" s="72"/>
      <c r="EY305" s="72"/>
      <c r="EZ305" s="72"/>
      <c r="FA305" s="72"/>
      <c r="FB305" s="72"/>
      <c r="FC305" s="72"/>
      <c r="FD305" s="72"/>
      <c r="FE305" s="72"/>
      <c r="FF305" s="72"/>
      <c r="FG305" s="72"/>
      <c r="FH305" s="72"/>
      <c r="FI305" s="72"/>
      <c r="FJ305" s="72"/>
      <c r="FK305" s="72"/>
      <c r="FL305" s="72"/>
      <c r="FM305" s="72"/>
      <c r="FN305" s="72"/>
      <c r="FO305" s="72"/>
      <c r="FP305" s="72"/>
      <c r="FQ305" s="72"/>
      <c r="FR305" s="72"/>
      <c r="FS305" s="72"/>
      <c r="FT305" s="72"/>
      <c r="FU305" s="72"/>
      <c r="FV305" s="72"/>
    </row>
    <row r="306" spans="2:178" s="1" customFormat="1" ht="15.75">
      <c r="B306" s="41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c r="CB306" s="72"/>
      <c r="CC306" s="72"/>
      <c r="CD306" s="72"/>
      <c r="CE306" s="72"/>
      <c r="CF306" s="72"/>
      <c r="CG306" s="72"/>
      <c r="CH306" s="72"/>
      <c r="CI306" s="72"/>
      <c r="CJ306" s="72"/>
      <c r="CK306" s="72"/>
      <c r="CL306" s="72"/>
      <c r="CM306" s="72"/>
      <c r="CN306" s="72"/>
      <c r="CO306" s="72"/>
      <c r="CP306" s="72"/>
      <c r="CQ306" s="72"/>
      <c r="CR306" s="72"/>
      <c r="CS306" s="72"/>
      <c r="CT306" s="72"/>
      <c r="CU306" s="72"/>
      <c r="CV306" s="72"/>
      <c r="CW306" s="72"/>
      <c r="CX306" s="72"/>
      <c r="CY306" s="72"/>
      <c r="CZ306" s="72"/>
      <c r="DA306" s="72"/>
      <c r="DB306" s="72"/>
      <c r="DC306" s="72"/>
      <c r="DD306" s="72"/>
      <c r="DE306" s="72"/>
      <c r="DF306" s="72"/>
      <c r="DG306" s="72"/>
      <c r="DH306" s="72"/>
      <c r="DI306" s="72"/>
      <c r="DJ306" s="72"/>
      <c r="DK306" s="72"/>
      <c r="DL306" s="72"/>
      <c r="DM306" s="72"/>
      <c r="DN306" s="72"/>
      <c r="DO306" s="72"/>
      <c r="DP306" s="72"/>
      <c r="DQ306" s="72"/>
      <c r="DR306" s="72"/>
      <c r="DS306" s="72"/>
      <c r="DT306" s="72"/>
      <c r="DU306" s="72"/>
      <c r="DV306" s="72"/>
      <c r="DW306" s="72"/>
      <c r="DX306" s="72"/>
      <c r="DY306" s="72"/>
      <c r="DZ306" s="72"/>
      <c r="EA306" s="72"/>
      <c r="EB306" s="72"/>
      <c r="EC306" s="72"/>
      <c r="ED306" s="72"/>
      <c r="EE306" s="72"/>
      <c r="EF306" s="72"/>
      <c r="EG306" s="72"/>
      <c r="EH306" s="72"/>
      <c r="EI306" s="72"/>
      <c r="EJ306" s="72"/>
      <c r="EK306" s="72"/>
      <c r="EL306" s="72"/>
      <c r="EM306" s="72"/>
      <c r="EN306" s="72"/>
      <c r="EO306" s="72"/>
      <c r="EP306" s="72"/>
      <c r="EQ306" s="72"/>
      <c r="ER306" s="72"/>
      <c r="ES306" s="72"/>
      <c r="ET306" s="72"/>
      <c r="EU306" s="72"/>
      <c r="EV306" s="72"/>
      <c r="EW306" s="72"/>
      <c r="EX306" s="72"/>
      <c r="EY306" s="72"/>
      <c r="EZ306" s="72"/>
      <c r="FA306" s="72"/>
      <c r="FB306" s="72"/>
      <c r="FC306" s="72"/>
      <c r="FD306" s="72"/>
      <c r="FE306" s="72"/>
      <c r="FF306" s="72"/>
      <c r="FG306" s="72"/>
      <c r="FH306" s="72"/>
      <c r="FI306" s="72"/>
      <c r="FJ306" s="72"/>
      <c r="FK306" s="72"/>
      <c r="FL306" s="72"/>
      <c r="FM306" s="72"/>
      <c r="FN306" s="72"/>
      <c r="FO306" s="72"/>
      <c r="FP306" s="72"/>
      <c r="FQ306" s="72"/>
      <c r="FR306" s="72"/>
      <c r="FS306" s="72"/>
      <c r="FT306" s="72"/>
      <c r="FU306" s="72"/>
      <c r="FV306" s="72"/>
    </row>
    <row r="307" spans="2:178" s="1" customFormat="1" ht="15.75">
      <c r="B307" s="41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c r="BZ307" s="72"/>
      <c r="CA307" s="72"/>
      <c r="CB307" s="72"/>
      <c r="CC307" s="72"/>
      <c r="CD307" s="72"/>
      <c r="CE307" s="72"/>
      <c r="CF307" s="72"/>
      <c r="CG307" s="72"/>
      <c r="CH307" s="72"/>
      <c r="CI307" s="72"/>
      <c r="CJ307" s="72"/>
      <c r="CK307" s="72"/>
      <c r="CL307" s="72"/>
      <c r="CM307" s="72"/>
      <c r="CN307" s="72"/>
      <c r="CO307" s="72"/>
      <c r="CP307" s="72"/>
      <c r="CQ307" s="72"/>
      <c r="CR307" s="72"/>
      <c r="CS307" s="72"/>
      <c r="CT307" s="72"/>
      <c r="CU307" s="72"/>
      <c r="CV307" s="72"/>
      <c r="CW307" s="72"/>
      <c r="CX307" s="72"/>
      <c r="CY307" s="72"/>
      <c r="CZ307" s="72"/>
      <c r="DA307" s="72"/>
      <c r="DB307" s="72"/>
      <c r="DC307" s="72"/>
      <c r="DD307" s="72"/>
      <c r="DE307" s="72"/>
      <c r="DF307" s="72"/>
      <c r="DG307" s="72"/>
      <c r="DH307" s="72"/>
      <c r="DI307" s="72"/>
      <c r="DJ307" s="72"/>
      <c r="DK307" s="72"/>
      <c r="DL307" s="72"/>
      <c r="DM307" s="72"/>
      <c r="DN307" s="72"/>
      <c r="DO307" s="72"/>
      <c r="DP307" s="72"/>
      <c r="DQ307" s="72"/>
      <c r="DR307" s="72"/>
      <c r="DS307" s="72"/>
      <c r="DT307" s="72"/>
      <c r="DU307" s="72"/>
      <c r="DV307" s="72"/>
      <c r="DW307" s="72"/>
      <c r="DX307" s="72"/>
      <c r="DY307" s="72"/>
      <c r="DZ307" s="72"/>
      <c r="EA307" s="72"/>
      <c r="EB307" s="72"/>
      <c r="EC307" s="72"/>
      <c r="ED307" s="72"/>
      <c r="EE307" s="72"/>
      <c r="EF307" s="72"/>
      <c r="EG307" s="72"/>
      <c r="EH307" s="72"/>
      <c r="EI307" s="72"/>
      <c r="EJ307" s="72"/>
      <c r="EK307" s="72"/>
      <c r="EL307" s="72"/>
      <c r="EM307" s="72"/>
      <c r="EN307" s="72"/>
      <c r="EO307" s="72"/>
      <c r="EP307" s="72"/>
      <c r="EQ307" s="72"/>
      <c r="ER307" s="72"/>
      <c r="ES307" s="72"/>
      <c r="ET307" s="72"/>
      <c r="EU307" s="72"/>
      <c r="EV307" s="72"/>
      <c r="EW307" s="72"/>
      <c r="EX307" s="72"/>
      <c r="EY307" s="72"/>
      <c r="EZ307" s="72"/>
      <c r="FA307" s="72"/>
      <c r="FB307" s="72"/>
      <c r="FC307" s="72"/>
      <c r="FD307" s="72"/>
      <c r="FE307" s="72"/>
      <c r="FF307" s="72"/>
      <c r="FG307" s="72"/>
      <c r="FH307" s="72"/>
      <c r="FI307" s="72"/>
      <c r="FJ307" s="72"/>
      <c r="FK307" s="72"/>
      <c r="FL307" s="72"/>
      <c r="FM307" s="72"/>
      <c r="FN307" s="72"/>
      <c r="FO307" s="72"/>
      <c r="FP307" s="72"/>
      <c r="FQ307" s="72"/>
      <c r="FR307" s="72"/>
      <c r="FS307" s="72"/>
      <c r="FT307" s="72"/>
      <c r="FU307" s="72"/>
      <c r="FV307" s="72"/>
    </row>
    <row r="308" spans="2:178" s="1" customFormat="1" ht="15.75">
      <c r="B308" s="41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c r="CB308" s="72"/>
      <c r="CC308" s="72"/>
      <c r="CD308" s="72"/>
      <c r="CE308" s="72"/>
      <c r="CF308" s="72"/>
      <c r="CG308" s="72"/>
      <c r="CH308" s="72"/>
      <c r="CI308" s="72"/>
      <c r="CJ308" s="72"/>
      <c r="CK308" s="72"/>
      <c r="CL308" s="72"/>
      <c r="CM308" s="72"/>
      <c r="CN308" s="72"/>
      <c r="CO308" s="72"/>
      <c r="CP308" s="72"/>
      <c r="CQ308" s="72"/>
      <c r="CR308" s="72"/>
      <c r="CS308" s="72"/>
      <c r="CT308" s="72"/>
      <c r="CU308" s="72"/>
      <c r="CV308" s="72"/>
      <c r="CW308" s="72"/>
      <c r="CX308" s="72"/>
      <c r="CY308" s="72"/>
      <c r="CZ308" s="72"/>
      <c r="DA308" s="72"/>
      <c r="DB308" s="72"/>
      <c r="DC308" s="72"/>
      <c r="DD308" s="72"/>
      <c r="DE308" s="72"/>
      <c r="DF308" s="72"/>
      <c r="DG308" s="72"/>
      <c r="DH308" s="72"/>
      <c r="DI308" s="72"/>
      <c r="DJ308" s="72"/>
      <c r="DK308" s="72"/>
      <c r="DL308" s="72"/>
      <c r="DM308" s="72"/>
      <c r="DN308" s="72"/>
      <c r="DO308" s="72"/>
      <c r="DP308" s="72"/>
      <c r="DQ308" s="72"/>
      <c r="DR308" s="72"/>
      <c r="DS308" s="72"/>
      <c r="DT308" s="72"/>
      <c r="DU308" s="72"/>
      <c r="DV308" s="72"/>
      <c r="DW308" s="72"/>
      <c r="DX308" s="72"/>
      <c r="DY308" s="72"/>
      <c r="DZ308" s="72"/>
      <c r="EA308" s="72"/>
      <c r="EB308" s="72"/>
      <c r="EC308" s="72"/>
      <c r="ED308" s="72"/>
      <c r="EE308" s="72"/>
      <c r="EF308" s="72"/>
      <c r="EG308" s="72"/>
      <c r="EH308" s="72"/>
      <c r="EI308" s="72"/>
      <c r="EJ308" s="72"/>
      <c r="EK308" s="72"/>
      <c r="EL308" s="72"/>
      <c r="EM308" s="72"/>
      <c r="EN308" s="72"/>
      <c r="EO308" s="72"/>
      <c r="EP308" s="72"/>
      <c r="EQ308" s="72"/>
      <c r="ER308" s="72"/>
      <c r="ES308" s="72"/>
      <c r="ET308" s="72"/>
      <c r="EU308" s="72"/>
      <c r="EV308" s="72"/>
      <c r="EW308" s="72"/>
      <c r="EX308" s="72"/>
      <c r="EY308" s="72"/>
      <c r="EZ308" s="72"/>
      <c r="FA308" s="72"/>
      <c r="FB308" s="72"/>
      <c r="FC308" s="72"/>
      <c r="FD308" s="72"/>
      <c r="FE308" s="72"/>
      <c r="FF308" s="72"/>
      <c r="FG308" s="72"/>
      <c r="FH308" s="72"/>
      <c r="FI308" s="72"/>
      <c r="FJ308" s="72"/>
      <c r="FK308" s="72"/>
      <c r="FL308" s="72"/>
      <c r="FM308" s="72"/>
      <c r="FN308" s="72"/>
      <c r="FO308" s="72"/>
      <c r="FP308" s="72"/>
      <c r="FQ308" s="72"/>
      <c r="FR308" s="72"/>
      <c r="FS308" s="72"/>
      <c r="FT308" s="72"/>
      <c r="FU308" s="72"/>
      <c r="FV308" s="72"/>
    </row>
    <row r="309" spans="2:178" s="1" customFormat="1" ht="15.75">
      <c r="B309" s="41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c r="CB309" s="72"/>
      <c r="CC309" s="72"/>
      <c r="CD309" s="72"/>
      <c r="CE309" s="72"/>
      <c r="CF309" s="72"/>
      <c r="CG309" s="72"/>
      <c r="CH309" s="72"/>
      <c r="CI309" s="72"/>
      <c r="CJ309" s="72"/>
      <c r="CK309" s="72"/>
      <c r="CL309" s="72"/>
      <c r="CM309" s="72"/>
      <c r="CN309" s="72"/>
      <c r="CO309" s="72"/>
      <c r="CP309" s="72"/>
      <c r="CQ309" s="72"/>
      <c r="CR309" s="72"/>
      <c r="CS309" s="72"/>
      <c r="CT309" s="72"/>
      <c r="CU309" s="72"/>
      <c r="CV309" s="72"/>
      <c r="CW309" s="72"/>
      <c r="CX309" s="72"/>
      <c r="CY309" s="72"/>
      <c r="CZ309" s="72"/>
      <c r="DA309" s="72"/>
      <c r="DB309" s="72"/>
      <c r="DC309" s="72"/>
      <c r="DD309" s="72"/>
      <c r="DE309" s="72"/>
      <c r="DF309" s="72"/>
      <c r="DG309" s="72"/>
      <c r="DH309" s="72"/>
      <c r="DI309" s="72"/>
      <c r="DJ309" s="72"/>
      <c r="DK309" s="72"/>
      <c r="DL309" s="72"/>
      <c r="DM309" s="72"/>
      <c r="DN309" s="72"/>
      <c r="DO309" s="72"/>
      <c r="DP309" s="72"/>
      <c r="DQ309" s="72"/>
      <c r="DR309" s="72"/>
      <c r="DS309" s="72"/>
      <c r="DT309" s="72"/>
      <c r="DU309" s="72"/>
      <c r="DV309" s="72"/>
      <c r="DW309" s="72"/>
      <c r="DX309" s="72"/>
      <c r="DY309" s="72"/>
      <c r="DZ309" s="72"/>
      <c r="EA309" s="72"/>
      <c r="EB309" s="72"/>
      <c r="EC309" s="72"/>
      <c r="ED309" s="72"/>
      <c r="EE309" s="72"/>
      <c r="EF309" s="72"/>
      <c r="EG309" s="72"/>
      <c r="EH309" s="72"/>
      <c r="EI309" s="72"/>
      <c r="EJ309" s="72"/>
      <c r="EK309" s="72"/>
      <c r="EL309" s="72"/>
      <c r="EM309" s="72"/>
      <c r="EN309" s="72"/>
      <c r="EO309" s="72"/>
      <c r="EP309" s="72"/>
      <c r="EQ309" s="72"/>
      <c r="ER309" s="72"/>
      <c r="ES309" s="72"/>
      <c r="ET309" s="72"/>
      <c r="EU309" s="72"/>
      <c r="EV309" s="72"/>
      <c r="EW309" s="72"/>
      <c r="EX309" s="72"/>
      <c r="EY309" s="72"/>
      <c r="EZ309" s="72"/>
      <c r="FA309" s="72"/>
      <c r="FB309" s="72"/>
      <c r="FC309" s="72"/>
      <c r="FD309" s="72"/>
      <c r="FE309" s="72"/>
      <c r="FF309" s="72"/>
      <c r="FG309" s="72"/>
      <c r="FH309" s="72"/>
      <c r="FI309" s="72"/>
      <c r="FJ309" s="72"/>
      <c r="FK309" s="72"/>
      <c r="FL309" s="72"/>
      <c r="FM309" s="72"/>
      <c r="FN309" s="72"/>
      <c r="FO309" s="72"/>
      <c r="FP309" s="72"/>
      <c r="FQ309" s="72"/>
      <c r="FR309" s="72"/>
      <c r="FS309" s="72"/>
      <c r="FT309" s="72"/>
      <c r="FU309" s="72"/>
      <c r="FV309" s="72"/>
    </row>
    <row r="310" spans="2:178" s="1" customFormat="1" ht="15.75">
      <c r="B310" s="41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c r="CX310" s="72"/>
      <c r="CY310" s="72"/>
      <c r="CZ310" s="72"/>
      <c r="DA310" s="72"/>
      <c r="DB310" s="72"/>
      <c r="DC310" s="72"/>
      <c r="DD310" s="72"/>
      <c r="DE310" s="72"/>
      <c r="DF310" s="72"/>
      <c r="DG310" s="72"/>
      <c r="DH310" s="72"/>
      <c r="DI310" s="72"/>
      <c r="DJ310" s="72"/>
      <c r="DK310" s="72"/>
      <c r="DL310" s="72"/>
      <c r="DM310" s="72"/>
      <c r="DN310" s="72"/>
      <c r="DO310" s="72"/>
      <c r="DP310" s="72"/>
      <c r="DQ310" s="72"/>
      <c r="DR310" s="72"/>
      <c r="DS310" s="72"/>
      <c r="DT310" s="72"/>
      <c r="DU310" s="72"/>
      <c r="DV310" s="72"/>
      <c r="DW310" s="72"/>
      <c r="DX310" s="72"/>
      <c r="DY310" s="72"/>
      <c r="DZ310" s="72"/>
      <c r="EA310" s="72"/>
      <c r="EB310" s="72"/>
      <c r="EC310" s="72"/>
      <c r="ED310" s="72"/>
      <c r="EE310" s="72"/>
      <c r="EF310" s="72"/>
      <c r="EG310" s="72"/>
      <c r="EH310" s="72"/>
      <c r="EI310" s="72"/>
      <c r="EJ310" s="72"/>
      <c r="EK310" s="72"/>
      <c r="EL310" s="72"/>
      <c r="EM310" s="72"/>
      <c r="EN310" s="72"/>
      <c r="EO310" s="72"/>
      <c r="EP310" s="72"/>
      <c r="EQ310" s="72"/>
      <c r="ER310" s="72"/>
      <c r="ES310" s="72"/>
      <c r="ET310" s="72"/>
      <c r="EU310" s="72"/>
      <c r="EV310" s="72"/>
      <c r="EW310" s="72"/>
      <c r="EX310" s="72"/>
      <c r="EY310" s="72"/>
      <c r="EZ310" s="72"/>
      <c r="FA310" s="72"/>
      <c r="FB310" s="72"/>
      <c r="FC310" s="72"/>
      <c r="FD310" s="72"/>
      <c r="FE310" s="72"/>
      <c r="FF310" s="72"/>
      <c r="FG310" s="72"/>
      <c r="FH310" s="72"/>
      <c r="FI310" s="72"/>
      <c r="FJ310" s="72"/>
      <c r="FK310" s="72"/>
      <c r="FL310" s="72"/>
      <c r="FM310" s="72"/>
      <c r="FN310" s="72"/>
      <c r="FO310" s="72"/>
      <c r="FP310" s="72"/>
      <c r="FQ310" s="72"/>
      <c r="FR310" s="72"/>
      <c r="FS310" s="72"/>
      <c r="FT310" s="72"/>
      <c r="FU310" s="72"/>
      <c r="FV310" s="72"/>
    </row>
    <row r="311" spans="2:178" s="1" customFormat="1" ht="15.75">
      <c r="B311" s="41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c r="CX311" s="72"/>
      <c r="CY311" s="72"/>
      <c r="CZ311" s="72"/>
      <c r="DA311" s="72"/>
      <c r="DB311" s="72"/>
      <c r="DC311" s="72"/>
      <c r="DD311" s="72"/>
      <c r="DE311" s="72"/>
      <c r="DF311" s="72"/>
      <c r="DG311" s="72"/>
      <c r="DH311" s="72"/>
      <c r="DI311" s="72"/>
      <c r="DJ311" s="72"/>
      <c r="DK311" s="72"/>
      <c r="DL311" s="72"/>
      <c r="DM311" s="72"/>
      <c r="DN311" s="72"/>
      <c r="DO311" s="72"/>
      <c r="DP311" s="72"/>
      <c r="DQ311" s="72"/>
      <c r="DR311" s="72"/>
      <c r="DS311" s="72"/>
      <c r="DT311" s="72"/>
      <c r="DU311" s="72"/>
      <c r="DV311" s="72"/>
      <c r="DW311" s="72"/>
      <c r="DX311" s="72"/>
      <c r="DY311" s="72"/>
      <c r="DZ311" s="72"/>
      <c r="EA311" s="72"/>
      <c r="EB311" s="72"/>
      <c r="EC311" s="72"/>
      <c r="ED311" s="72"/>
      <c r="EE311" s="72"/>
      <c r="EF311" s="72"/>
      <c r="EG311" s="72"/>
      <c r="EH311" s="72"/>
      <c r="EI311" s="72"/>
      <c r="EJ311" s="72"/>
      <c r="EK311" s="72"/>
      <c r="EL311" s="72"/>
      <c r="EM311" s="72"/>
      <c r="EN311" s="72"/>
      <c r="EO311" s="72"/>
      <c r="EP311" s="72"/>
      <c r="EQ311" s="72"/>
      <c r="ER311" s="72"/>
      <c r="ES311" s="72"/>
      <c r="ET311" s="72"/>
      <c r="EU311" s="72"/>
      <c r="EV311" s="72"/>
      <c r="EW311" s="72"/>
      <c r="EX311" s="72"/>
      <c r="EY311" s="72"/>
      <c r="EZ311" s="72"/>
      <c r="FA311" s="72"/>
      <c r="FB311" s="72"/>
      <c r="FC311" s="72"/>
      <c r="FD311" s="72"/>
      <c r="FE311" s="72"/>
      <c r="FF311" s="72"/>
      <c r="FG311" s="72"/>
      <c r="FH311" s="72"/>
      <c r="FI311" s="72"/>
      <c r="FJ311" s="72"/>
      <c r="FK311" s="72"/>
      <c r="FL311" s="72"/>
      <c r="FM311" s="72"/>
      <c r="FN311" s="72"/>
      <c r="FO311" s="72"/>
      <c r="FP311" s="72"/>
      <c r="FQ311" s="72"/>
      <c r="FR311" s="72"/>
      <c r="FS311" s="72"/>
      <c r="FT311" s="72"/>
      <c r="FU311" s="72"/>
      <c r="FV311" s="72"/>
    </row>
    <row r="312" spans="2:178" s="1" customFormat="1" ht="15.75">
      <c r="B312" s="41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c r="CB312" s="72"/>
      <c r="CC312" s="72"/>
      <c r="CD312" s="72"/>
      <c r="CE312" s="72"/>
      <c r="CF312" s="72"/>
      <c r="CG312" s="72"/>
      <c r="CH312" s="72"/>
      <c r="CI312" s="72"/>
      <c r="CJ312" s="72"/>
      <c r="CK312" s="72"/>
      <c r="CL312" s="72"/>
      <c r="CM312" s="72"/>
      <c r="CN312" s="72"/>
      <c r="CO312" s="72"/>
      <c r="CP312" s="72"/>
      <c r="CQ312" s="72"/>
      <c r="CR312" s="72"/>
      <c r="CS312" s="72"/>
      <c r="CT312" s="72"/>
      <c r="CU312" s="72"/>
      <c r="CV312" s="72"/>
      <c r="CW312" s="72"/>
      <c r="CX312" s="72"/>
      <c r="CY312" s="72"/>
      <c r="CZ312" s="72"/>
      <c r="DA312" s="72"/>
      <c r="DB312" s="72"/>
      <c r="DC312" s="72"/>
      <c r="DD312" s="72"/>
      <c r="DE312" s="72"/>
      <c r="DF312" s="72"/>
      <c r="DG312" s="72"/>
      <c r="DH312" s="72"/>
      <c r="DI312" s="72"/>
      <c r="DJ312" s="72"/>
      <c r="DK312" s="72"/>
      <c r="DL312" s="72"/>
      <c r="DM312" s="72"/>
      <c r="DN312" s="72"/>
      <c r="DO312" s="72"/>
      <c r="DP312" s="72"/>
      <c r="DQ312" s="72"/>
      <c r="DR312" s="72"/>
      <c r="DS312" s="72"/>
      <c r="DT312" s="72"/>
      <c r="DU312" s="72"/>
      <c r="DV312" s="72"/>
      <c r="DW312" s="72"/>
      <c r="DX312" s="72"/>
      <c r="DY312" s="72"/>
      <c r="DZ312" s="72"/>
      <c r="EA312" s="72"/>
      <c r="EB312" s="72"/>
      <c r="EC312" s="72"/>
      <c r="ED312" s="72"/>
      <c r="EE312" s="72"/>
      <c r="EF312" s="72"/>
      <c r="EG312" s="72"/>
      <c r="EH312" s="72"/>
      <c r="EI312" s="72"/>
      <c r="EJ312" s="72"/>
      <c r="EK312" s="72"/>
      <c r="EL312" s="72"/>
      <c r="EM312" s="72"/>
      <c r="EN312" s="72"/>
      <c r="EO312" s="72"/>
      <c r="EP312" s="72"/>
      <c r="EQ312" s="72"/>
      <c r="ER312" s="72"/>
      <c r="ES312" s="72"/>
      <c r="ET312" s="72"/>
      <c r="EU312" s="72"/>
      <c r="EV312" s="72"/>
      <c r="EW312" s="72"/>
      <c r="EX312" s="72"/>
      <c r="EY312" s="72"/>
      <c r="EZ312" s="72"/>
      <c r="FA312" s="72"/>
      <c r="FB312" s="72"/>
      <c r="FC312" s="72"/>
      <c r="FD312" s="72"/>
      <c r="FE312" s="72"/>
      <c r="FF312" s="72"/>
      <c r="FG312" s="72"/>
      <c r="FH312" s="72"/>
      <c r="FI312" s="72"/>
      <c r="FJ312" s="72"/>
      <c r="FK312" s="72"/>
      <c r="FL312" s="72"/>
      <c r="FM312" s="72"/>
      <c r="FN312" s="72"/>
      <c r="FO312" s="72"/>
      <c r="FP312" s="72"/>
      <c r="FQ312" s="72"/>
      <c r="FR312" s="72"/>
      <c r="FS312" s="72"/>
      <c r="FT312" s="72"/>
      <c r="FU312" s="72"/>
      <c r="FV312" s="72"/>
    </row>
    <row r="313" spans="2:178" s="1" customFormat="1" ht="15.75">
      <c r="B313" s="41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c r="CB313" s="72"/>
      <c r="CC313" s="72"/>
      <c r="CD313" s="72"/>
      <c r="CE313" s="72"/>
      <c r="CF313" s="72"/>
      <c r="CG313" s="72"/>
      <c r="CH313" s="72"/>
      <c r="CI313" s="72"/>
      <c r="CJ313" s="72"/>
      <c r="CK313" s="72"/>
      <c r="CL313" s="72"/>
      <c r="CM313" s="72"/>
      <c r="CN313" s="72"/>
      <c r="CO313" s="72"/>
      <c r="CP313" s="72"/>
      <c r="CQ313" s="72"/>
      <c r="CR313" s="72"/>
      <c r="CS313" s="72"/>
      <c r="CT313" s="72"/>
      <c r="CU313" s="72"/>
      <c r="CV313" s="72"/>
      <c r="CW313" s="72"/>
      <c r="CX313" s="72"/>
      <c r="CY313" s="72"/>
      <c r="CZ313" s="72"/>
      <c r="DA313" s="72"/>
      <c r="DB313" s="72"/>
      <c r="DC313" s="72"/>
      <c r="DD313" s="72"/>
      <c r="DE313" s="72"/>
      <c r="DF313" s="72"/>
      <c r="DG313" s="72"/>
      <c r="DH313" s="72"/>
      <c r="DI313" s="72"/>
      <c r="DJ313" s="72"/>
      <c r="DK313" s="72"/>
      <c r="DL313" s="72"/>
      <c r="DM313" s="72"/>
      <c r="DN313" s="72"/>
      <c r="DO313" s="72"/>
      <c r="DP313" s="72"/>
      <c r="DQ313" s="72"/>
      <c r="DR313" s="72"/>
      <c r="DS313" s="72"/>
      <c r="DT313" s="72"/>
      <c r="DU313" s="72"/>
      <c r="DV313" s="72"/>
      <c r="DW313" s="72"/>
      <c r="DX313" s="72"/>
      <c r="DY313" s="72"/>
      <c r="DZ313" s="72"/>
      <c r="EA313" s="72"/>
      <c r="EB313" s="72"/>
      <c r="EC313" s="72"/>
      <c r="ED313" s="72"/>
      <c r="EE313" s="72"/>
      <c r="EF313" s="72"/>
      <c r="EG313" s="72"/>
      <c r="EH313" s="72"/>
      <c r="EI313" s="72"/>
      <c r="EJ313" s="72"/>
      <c r="EK313" s="72"/>
      <c r="EL313" s="72"/>
      <c r="EM313" s="72"/>
      <c r="EN313" s="72"/>
      <c r="EO313" s="72"/>
      <c r="EP313" s="72"/>
      <c r="EQ313" s="72"/>
      <c r="ER313" s="72"/>
      <c r="ES313" s="72"/>
      <c r="ET313" s="72"/>
      <c r="EU313" s="72"/>
      <c r="EV313" s="72"/>
      <c r="EW313" s="72"/>
      <c r="EX313" s="72"/>
      <c r="EY313" s="72"/>
      <c r="EZ313" s="72"/>
      <c r="FA313" s="72"/>
      <c r="FB313" s="72"/>
      <c r="FC313" s="72"/>
      <c r="FD313" s="72"/>
      <c r="FE313" s="72"/>
      <c r="FF313" s="72"/>
      <c r="FG313" s="72"/>
      <c r="FH313" s="72"/>
      <c r="FI313" s="72"/>
      <c r="FJ313" s="72"/>
      <c r="FK313" s="72"/>
      <c r="FL313" s="72"/>
      <c r="FM313" s="72"/>
      <c r="FN313" s="72"/>
      <c r="FO313" s="72"/>
      <c r="FP313" s="72"/>
      <c r="FQ313" s="72"/>
      <c r="FR313" s="72"/>
      <c r="FS313" s="72"/>
      <c r="FT313" s="72"/>
      <c r="FU313" s="72"/>
      <c r="FV313" s="72"/>
    </row>
    <row r="314" spans="2:178" s="1" customFormat="1" ht="15.75">
      <c r="B314" s="41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c r="CX314" s="72"/>
      <c r="CY314" s="72"/>
      <c r="CZ314" s="72"/>
      <c r="DA314" s="72"/>
      <c r="DB314" s="72"/>
      <c r="DC314" s="72"/>
      <c r="DD314" s="72"/>
      <c r="DE314" s="72"/>
      <c r="DF314" s="72"/>
      <c r="DG314" s="72"/>
      <c r="DH314" s="72"/>
      <c r="DI314" s="72"/>
      <c r="DJ314" s="72"/>
      <c r="DK314" s="72"/>
      <c r="DL314" s="72"/>
      <c r="DM314" s="72"/>
      <c r="DN314" s="72"/>
      <c r="DO314" s="72"/>
      <c r="DP314" s="72"/>
      <c r="DQ314" s="72"/>
      <c r="DR314" s="72"/>
      <c r="DS314" s="72"/>
      <c r="DT314" s="72"/>
      <c r="DU314" s="72"/>
      <c r="DV314" s="72"/>
      <c r="DW314" s="72"/>
      <c r="DX314" s="72"/>
      <c r="DY314" s="72"/>
      <c r="DZ314" s="72"/>
      <c r="EA314" s="72"/>
      <c r="EB314" s="72"/>
      <c r="EC314" s="72"/>
      <c r="ED314" s="72"/>
      <c r="EE314" s="72"/>
      <c r="EF314" s="72"/>
      <c r="EG314" s="72"/>
      <c r="EH314" s="72"/>
      <c r="EI314" s="72"/>
      <c r="EJ314" s="72"/>
      <c r="EK314" s="72"/>
      <c r="EL314" s="72"/>
      <c r="EM314" s="72"/>
      <c r="EN314" s="72"/>
      <c r="EO314" s="72"/>
      <c r="EP314" s="72"/>
      <c r="EQ314" s="72"/>
      <c r="ER314" s="72"/>
      <c r="ES314" s="72"/>
      <c r="ET314" s="72"/>
      <c r="EU314" s="72"/>
      <c r="EV314" s="72"/>
      <c r="EW314" s="72"/>
      <c r="EX314" s="72"/>
      <c r="EY314" s="72"/>
      <c r="EZ314" s="72"/>
      <c r="FA314" s="72"/>
      <c r="FB314" s="72"/>
      <c r="FC314" s="72"/>
      <c r="FD314" s="72"/>
      <c r="FE314" s="72"/>
      <c r="FF314" s="72"/>
      <c r="FG314" s="72"/>
      <c r="FH314" s="72"/>
      <c r="FI314" s="72"/>
      <c r="FJ314" s="72"/>
      <c r="FK314" s="72"/>
      <c r="FL314" s="72"/>
      <c r="FM314" s="72"/>
      <c r="FN314" s="72"/>
      <c r="FO314" s="72"/>
      <c r="FP314" s="72"/>
      <c r="FQ314" s="72"/>
      <c r="FR314" s="72"/>
      <c r="FS314" s="72"/>
      <c r="FT314" s="72"/>
      <c r="FU314" s="72"/>
      <c r="FV314" s="72"/>
    </row>
    <row r="315" spans="2:178" s="1" customFormat="1" ht="15.75">
      <c r="B315" s="41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c r="CI315" s="72"/>
      <c r="CJ315" s="72"/>
      <c r="CK315" s="72"/>
      <c r="CL315" s="72"/>
      <c r="CM315" s="72"/>
      <c r="CN315" s="72"/>
      <c r="CO315" s="72"/>
      <c r="CP315" s="72"/>
      <c r="CQ315" s="72"/>
      <c r="CR315" s="72"/>
      <c r="CS315" s="72"/>
      <c r="CT315" s="72"/>
      <c r="CU315" s="72"/>
      <c r="CV315" s="72"/>
      <c r="CW315" s="72"/>
      <c r="CX315" s="72"/>
      <c r="CY315" s="72"/>
      <c r="CZ315" s="72"/>
      <c r="DA315" s="72"/>
      <c r="DB315" s="72"/>
      <c r="DC315" s="72"/>
      <c r="DD315" s="72"/>
      <c r="DE315" s="72"/>
      <c r="DF315" s="72"/>
      <c r="DG315" s="72"/>
      <c r="DH315" s="72"/>
      <c r="DI315" s="72"/>
      <c r="DJ315" s="72"/>
      <c r="DK315" s="72"/>
      <c r="DL315" s="72"/>
      <c r="DM315" s="72"/>
      <c r="DN315" s="72"/>
      <c r="DO315" s="72"/>
      <c r="DP315" s="72"/>
      <c r="DQ315" s="72"/>
      <c r="DR315" s="72"/>
      <c r="DS315" s="72"/>
      <c r="DT315" s="72"/>
      <c r="DU315" s="72"/>
      <c r="DV315" s="72"/>
      <c r="DW315" s="72"/>
      <c r="DX315" s="72"/>
      <c r="DY315" s="72"/>
      <c r="DZ315" s="72"/>
      <c r="EA315" s="72"/>
      <c r="EB315" s="72"/>
      <c r="EC315" s="72"/>
      <c r="ED315" s="72"/>
      <c r="EE315" s="72"/>
      <c r="EF315" s="72"/>
      <c r="EG315" s="72"/>
      <c r="EH315" s="72"/>
      <c r="EI315" s="72"/>
      <c r="EJ315" s="72"/>
      <c r="EK315" s="72"/>
      <c r="EL315" s="72"/>
      <c r="EM315" s="72"/>
      <c r="EN315" s="72"/>
      <c r="EO315" s="72"/>
      <c r="EP315" s="72"/>
      <c r="EQ315" s="72"/>
      <c r="ER315" s="72"/>
      <c r="ES315" s="72"/>
      <c r="ET315" s="72"/>
      <c r="EU315" s="72"/>
      <c r="EV315" s="72"/>
      <c r="EW315" s="72"/>
      <c r="EX315" s="72"/>
      <c r="EY315" s="72"/>
      <c r="EZ315" s="72"/>
      <c r="FA315" s="72"/>
      <c r="FB315" s="72"/>
      <c r="FC315" s="72"/>
      <c r="FD315" s="72"/>
      <c r="FE315" s="72"/>
      <c r="FF315" s="72"/>
      <c r="FG315" s="72"/>
      <c r="FH315" s="72"/>
      <c r="FI315" s="72"/>
      <c r="FJ315" s="72"/>
      <c r="FK315" s="72"/>
      <c r="FL315" s="72"/>
      <c r="FM315" s="72"/>
      <c r="FN315" s="72"/>
      <c r="FO315" s="72"/>
      <c r="FP315" s="72"/>
      <c r="FQ315" s="72"/>
      <c r="FR315" s="72"/>
      <c r="FS315" s="72"/>
      <c r="FT315" s="72"/>
      <c r="FU315" s="72"/>
      <c r="FV315" s="72"/>
    </row>
    <row r="316" spans="2:178" s="1" customFormat="1" ht="15.75">
      <c r="B316" s="41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c r="CI316" s="72"/>
      <c r="CJ316" s="72"/>
      <c r="CK316" s="72"/>
      <c r="CL316" s="72"/>
      <c r="CM316" s="72"/>
      <c r="CN316" s="72"/>
      <c r="CO316" s="72"/>
      <c r="CP316" s="72"/>
      <c r="CQ316" s="72"/>
      <c r="CR316" s="72"/>
      <c r="CS316" s="72"/>
      <c r="CT316" s="72"/>
      <c r="CU316" s="72"/>
      <c r="CV316" s="72"/>
      <c r="CW316" s="72"/>
      <c r="CX316" s="72"/>
      <c r="CY316" s="72"/>
      <c r="CZ316" s="72"/>
      <c r="DA316" s="72"/>
      <c r="DB316" s="72"/>
      <c r="DC316" s="72"/>
      <c r="DD316" s="72"/>
      <c r="DE316" s="72"/>
      <c r="DF316" s="72"/>
      <c r="DG316" s="72"/>
      <c r="DH316" s="72"/>
      <c r="DI316" s="72"/>
      <c r="DJ316" s="72"/>
      <c r="DK316" s="72"/>
      <c r="DL316" s="72"/>
      <c r="DM316" s="72"/>
      <c r="DN316" s="72"/>
      <c r="DO316" s="72"/>
      <c r="DP316" s="72"/>
      <c r="DQ316" s="72"/>
      <c r="DR316" s="72"/>
      <c r="DS316" s="72"/>
      <c r="DT316" s="72"/>
      <c r="DU316" s="72"/>
      <c r="DV316" s="72"/>
      <c r="DW316" s="72"/>
      <c r="DX316" s="72"/>
      <c r="DY316" s="72"/>
      <c r="DZ316" s="72"/>
      <c r="EA316" s="72"/>
      <c r="EB316" s="72"/>
      <c r="EC316" s="72"/>
      <c r="ED316" s="72"/>
      <c r="EE316" s="72"/>
      <c r="EF316" s="72"/>
      <c r="EG316" s="72"/>
      <c r="EH316" s="72"/>
      <c r="EI316" s="72"/>
      <c r="EJ316" s="72"/>
      <c r="EK316" s="72"/>
      <c r="EL316" s="72"/>
      <c r="EM316" s="72"/>
      <c r="EN316" s="72"/>
      <c r="EO316" s="72"/>
      <c r="EP316" s="72"/>
      <c r="EQ316" s="72"/>
      <c r="ER316" s="72"/>
      <c r="ES316" s="72"/>
      <c r="ET316" s="72"/>
      <c r="EU316" s="72"/>
      <c r="EV316" s="72"/>
      <c r="EW316" s="72"/>
      <c r="EX316" s="72"/>
      <c r="EY316" s="72"/>
      <c r="EZ316" s="72"/>
      <c r="FA316" s="72"/>
      <c r="FB316" s="72"/>
      <c r="FC316" s="72"/>
      <c r="FD316" s="72"/>
      <c r="FE316" s="72"/>
      <c r="FF316" s="72"/>
      <c r="FG316" s="72"/>
      <c r="FH316" s="72"/>
      <c r="FI316" s="72"/>
      <c r="FJ316" s="72"/>
      <c r="FK316" s="72"/>
      <c r="FL316" s="72"/>
      <c r="FM316" s="72"/>
      <c r="FN316" s="72"/>
      <c r="FO316" s="72"/>
      <c r="FP316" s="72"/>
      <c r="FQ316" s="72"/>
      <c r="FR316" s="72"/>
      <c r="FS316" s="72"/>
      <c r="FT316" s="72"/>
      <c r="FU316" s="72"/>
      <c r="FV316" s="72"/>
    </row>
  </sheetData>
  <sheetProtection/>
  <mergeCells count="50">
    <mergeCell ref="A1:J1"/>
    <mergeCell ref="A2:J2"/>
    <mergeCell ref="A3:J3"/>
    <mergeCell ref="A114:J114"/>
    <mergeCell ref="A113:J113"/>
    <mergeCell ref="A112:J112"/>
    <mergeCell ref="A118:B118"/>
    <mergeCell ref="A6:A7"/>
    <mergeCell ref="B6:B7"/>
    <mergeCell ref="A119:B119"/>
    <mergeCell ref="A120:B120"/>
    <mergeCell ref="A121:B121"/>
    <mergeCell ref="A116:B11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44:B144"/>
    <mergeCell ref="A145:B145"/>
    <mergeCell ref="A134:B134"/>
    <mergeCell ref="A135:B135"/>
    <mergeCell ref="A136:B136"/>
    <mergeCell ref="A137:B137"/>
    <mergeCell ref="A138:B138"/>
    <mergeCell ref="A139:B139"/>
    <mergeCell ref="A157:B157"/>
    <mergeCell ref="A146:B146"/>
    <mergeCell ref="A147:B147"/>
    <mergeCell ref="A148:B148"/>
    <mergeCell ref="A149:B149"/>
    <mergeCell ref="A150:B150"/>
    <mergeCell ref="A151:B151"/>
    <mergeCell ref="C116:C117"/>
    <mergeCell ref="A152:B152"/>
    <mergeCell ref="A153:B153"/>
    <mergeCell ref="A154:B154"/>
    <mergeCell ref="A155:B155"/>
    <mergeCell ref="A156:B156"/>
    <mergeCell ref="A140:B140"/>
    <mergeCell ref="A141:B141"/>
    <mergeCell ref="A142:B142"/>
    <mergeCell ref="A143:B143"/>
  </mergeCells>
  <printOptions/>
  <pageMargins left="0.787401575" right="0.787401575" top="0.984251969" bottom="0.984251969" header="0.492125985" footer="0.492125985"/>
  <pageSetup horizontalDpi="300" verticalDpi="300" orientation="portrait" scale="34" r:id="rId1"/>
  <rowBreaks count="2" manualBreakCount="2">
    <brk id="110" max="38" man="1"/>
    <brk id="114" max="255" man="1"/>
  </rowBreaks>
  <colBreaks count="1" manualBreakCount="1">
    <brk id="4" max="153" man="1"/>
  </colBreaks>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B17" sqref="B17"/>
    </sheetView>
  </sheetViews>
  <sheetFormatPr defaultColWidth="9.140625" defaultRowHeight="12.75"/>
  <cols>
    <col min="1" max="1" width="59.7109375" style="0" customWidth="1"/>
    <col min="2" max="2" width="16.140625" style="0" customWidth="1"/>
    <col min="3" max="3" width="16.28125" style="0" customWidth="1"/>
    <col min="4" max="4" width="15.28125" style="0" customWidth="1"/>
  </cols>
  <sheetData>
    <row r="1" spans="1:4" ht="12.75">
      <c r="A1" s="562" t="str">
        <f>Parâmetros!A7</f>
        <v>Município de : IVOTI</v>
      </c>
      <c r="B1" s="563"/>
      <c r="C1" s="563"/>
      <c r="D1" s="563"/>
    </row>
    <row r="2" spans="1:4" ht="12.75">
      <c r="A2" s="564" t="str">
        <f>Parâmetros!A8</f>
        <v>LEI DE DIRETRIZES ORÇAMENTÁRIAS  PARA 2023</v>
      </c>
      <c r="B2" s="563"/>
      <c r="C2" s="563"/>
      <c r="D2" s="563"/>
    </row>
    <row r="3" spans="1:4" ht="12.75">
      <c r="A3" s="565" t="s">
        <v>577</v>
      </c>
      <c r="B3" s="566"/>
      <c r="C3" s="566"/>
      <c r="D3" s="566"/>
    </row>
    <row r="4" spans="1:4" ht="12.75">
      <c r="A4" s="567" t="s">
        <v>632</v>
      </c>
      <c r="B4" s="568"/>
      <c r="C4" s="568"/>
      <c r="D4" s="568"/>
    </row>
    <row r="5" spans="1:4" ht="12.75">
      <c r="A5" s="85" t="s">
        <v>56</v>
      </c>
      <c r="B5" s="86">
        <f>Parâmetros!$E$10</f>
        <v>2023</v>
      </c>
      <c r="C5" s="86">
        <f>B5+1</f>
        <v>2024</v>
      </c>
      <c r="D5" s="86">
        <f>C5+1</f>
        <v>2025</v>
      </c>
    </row>
    <row r="6" spans="1:4" ht="12.75">
      <c r="A6" s="87" t="s">
        <v>367</v>
      </c>
      <c r="B6" s="88">
        <f>Projeções!H8</f>
        <v>147814127.42343366</v>
      </c>
      <c r="C6" s="88">
        <f>Projeções!I8</f>
        <v>155870581.7550096</v>
      </c>
      <c r="D6" s="88">
        <f>Projeções!J8</f>
        <v>164209985.9591892</v>
      </c>
    </row>
    <row r="7" spans="1:4" ht="12.75">
      <c r="A7" s="89" t="s">
        <v>364</v>
      </c>
      <c r="B7" s="90"/>
      <c r="C7" s="90"/>
      <c r="D7" s="90"/>
    </row>
    <row r="8" spans="1:4" ht="12.75">
      <c r="A8" s="91" t="s">
        <v>365</v>
      </c>
      <c r="B8" s="92">
        <f>Projeções!H17</f>
        <v>4496004.795164366</v>
      </c>
      <c r="C8" s="92">
        <f>Projeções!I17</f>
        <v>4724096.110432644</v>
      </c>
      <c r="D8" s="92">
        <f>Projeções!J17</f>
        <v>4939779.442450558</v>
      </c>
    </row>
    <row r="9" spans="1:4" ht="12.75">
      <c r="A9" s="93" t="s">
        <v>366</v>
      </c>
      <c r="B9" s="92">
        <f>Projeções!H73</f>
        <v>180141.52559002742</v>
      </c>
      <c r="C9" s="92">
        <f>Projeções!I73</f>
        <v>186446.47898567838</v>
      </c>
      <c r="D9" s="92">
        <f>Projeções!J73</f>
        <v>192039.87335524874</v>
      </c>
    </row>
    <row r="10" spans="1:4" ht="12.75">
      <c r="A10" s="93" t="s">
        <v>376</v>
      </c>
      <c r="B10" s="92">
        <f>Projeções!H28</f>
        <v>5890247.455288881</v>
      </c>
      <c r="C10" s="92">
        <f>Projeções!I28</f>
        <v>6200045.020199799</v>
      </c>
      <c r="D10" s="92">
        <f>Projeções!J28</f>
        <v>6513767.298221909</v>
      </c>
    </row>
    <row r="11" spans="1:4" ht="12.75">
      <c r="A11" s="91" t="s">
        <v>373</v>
      </c>
      <c r="B11" s="92">
        <f>-(Projeções!H105+Projeções!H106+Projeções!H107)</f>
        <v>13053270.032022072</v>
      </c>
      <c r="C11" s="92">
        <f>-(Projeções!I105+Projeções!I106+Projeções!I107)</f>
        <v>13670307.392679809</v>
      </c>
      <c r="D11" s="92">
        <f>-(Projeções!J105+Projeções!J106+Projeções!J107)</f>
        <v>14202554.745311536</v>
      </c>
    </row>
    <row r="12" spans="1:4" ht="12.75">
      <c r="A12" s="91" t="s">
        <v>633</v>
      </c>
      <c r="B12" s="405">
        <v>0</v>
      </c>
      <c r="C12" s="88">
        <f>B12*(1+Parâmetros!F11)</f>
        <v>0</v>
      </c>
      <c r="D12" s="88">
        <f>C12*(1+Parâmetros!G11)</f>
        <v>0</v>
      </c>
    </row>
    <row r="13" spans="1:4" ht="12.75">
      <c r="A13" s="429" t="s">
        <v>661</v>
      </c>
      <c r="B13" s="88">
        <f>B6-B8-B9-B10-B11-B12</f>
        <v>124194463.61536829</v>
      </c>
      <c r="C13" s="88">
        <f>C6-C8-C9-C10-C11-C12</f>
        <v>131089686.75271165</v>
      </c>
      <c r="D13" s="88">
        <f>D6-D8-D9-D10-D11-D12</f>
        <v>138361844.59984997</v>
      </c>
    </row>
    <row r="14" spans="1:4" ht="38.25">
      <c r="A14" s="430" t="s">
        <v>662</v>
      </c>
      <c r="B14" s="404">
        <v>0</v>
      </c>
      <c r="C14" s="88">
        <f>B14*(1+Parâmetros!F11)</f>
        <v>0</v>
      </c>
      <c r="D14" s="88">
        <f>C14*(1+Parâmetros!G11)</f>
        <v>0</v>
      </c>
    </row>
    <row r="15" spans="1:4" ht="12.75">
      <c r="A15" s="429" t="s">
        <v>663</v>
      </c>
      <c r="B15" s="88">
        <f>B13-B14</f>
        <v>124194463.61536829</v>
      </c>
      <c r="C15" s="88">
        <f>C13-C14</f>
        <v>131089686.75271165</v>
      </c>
      <c r="D15" s="88">
        <f>D13-D14</f>
        <v>138361844.59984997</v>
      </c>
    </row>
    <row r="16" spans="1:4" ht="38.25">
      <c r="A16" s="430" t="s">
        <v>664</v>
      </c>
      <c r="B16" s="404">
        <v>0</v>
      </c>
      <c r="C16" s="88">
        <f>B16*(1+Parâmetros!F11)</f>
        <v>0</v>
      </c>
      <c r="D16" s="88">
        <f>C16*(1+Parâmetros!G11)</f>
        <v>0</v>
      </c>
    </row>
    <row r="17" spans="1:4" ht="12.75">
      <c r="A17" s="429" t="s">
        <v>665</v>
      </c>
      <c r="B17" s="88">
        <f>B15-B16</f>
        <v>124194463.61536829</v>
      </c>
      <c r="C17" s="88">
        <f>C15-C16</f>
        <v>131089686.75271165</v>
      </c>
      <c r="D17" s="88">
        <f>D15-D16</f>
        <v>138361844.59984997</v>
      </c>
    </row>
    <row r="21" ht="12.75">
      <c r="A21" s="294"/>
    </row>
  </sheetData>
  <sheetProtection/>
  <mergeCells count="4">
    <mergeCell ref="A1:D1"/>
    <mergeCell ref="A2:D2"/>
    <mergeCell ref="A3:D3"/>
    <mergeCell ref="A4:D4"/>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1"/>
  <sheetViews>
    <sheetView zoomScaleSheetLayoutView="100" zoomScalePageLayoutView="0" workbookViewId="0" topLeftCell="A19">
      <selection activeCell="B7" sqref="B7"/>
    </sheetView>
  </sheetViews>
  <sheetFormatPr defaultColWidth="9.140625" defaultRowHeight="12.75"/>
  <cols>
    <col min="1" max="1" width="71.28125" style="0" customWidth="1"/>
    <col min="2" max="2" width="19.140625" style="0" customWidth="1"/>
    <col min="3" max="3" width="17.7109375" style="0" customWidth="1"/>
    <col min="4" max="4" width="19.8515625" style="0" customWidth="1"/>
  </cols>
  <sheetData>
    <row r="1" spans="1:4" ht="12.75">
      <c r="A1" s="572" t="str">
        <f>Parâmetros!A7</f>
        <v>Município de : IVOTI</v>
      </c>
      <c r="B1" s="573"/>
      <c r="C1" s="573"/>
      <c r="D1" s="573"/>
    </row>
    <row r="2" spans="1:4" ht="12.75">
      <c r="A2" s="574" t="s">
        <v>634</v>
      </c>
      <c r="B2" s="574"/>
      <c r="C2" s="574"/>
      <c r="D2" s="574"/>
    </row>
    <row r="3" spans="1:4" ht="13.5">
      <c r="A3" s="575" t="s">
        <v>635</v>
      </c>
      <c r="B3" s="576"/>
      <c r="C3" s="576"/>
      <c r="D3" s="576"/>
    </row>
    <row r="4" spans="1:4" ht="15">
      <c r="A4" s="95"/>
      <c r="B4" s="94"/>
      <c r="C4" s="94"/>
      <c r="D4" s="94"/>
    </row>
    <row r="5" spans="1:4" ht="12.75">
      <c r="A5" s="569" t="s">
        <v>418</v>
      </c>
      <c r="B5" s="571"/>
      <c r="C5" s="571"/>
      <c r="D5" s="571"/>
    </row>
    <row r="6" spans="1:4" ht="12.75">
      <c r="A6" s="570"/>
      <c r="B6" s="96">
        <f>Parâmetros!E10</f>
        <v>2023</v>
      </c>
      <c r="C6" s="96">
        <f>Parâmetros!F10</f>
        <v>2024</v>
      </c>
      <c r="D6" s="295">
        <f>Parâmetros!G10</f>
        <v>2025</v>
      </c>
    </row>
    <row r="7" spans="1:4" ht="12.75">
      <c r="A7" s="97" t="s">
        <v>415</v>
      </c>
      <c r="B7" s="296">
        <f>RCL!B17*0.54</f>
        <v>67065010.352298886</v>
      </c>
      <c r="C7" s="296">
        <f>RCL!C17*0.54</f>
        <v>70788430.84646429</v>
      </c>
      <c r="D7" s="296">
        <f>RCL!D17*0.54</f>
        <v>74715396.08391899</v>
      </c>
    </row>
    <row r="8" spans="1:4" ht="12.75">
      <c r="A8" s="98" t="s">
        <v>416</v>
      </c>
      <c r="B8" s="296">
        <f>B7*0.95</f>
        <v>63711759.83468394</v>
      </c>
      <c r="C8" s="296">
        <f>C7*0.95</f>
        <v>67249009.30414107</v>
      </c>
      <c r="D8" s="296">
        <f>D7*0.95</f>
        <v>70979626.27972303</v>
      </c>
    </row>
    <row r="9" spans="1:4" ht="12.75">
      <c r="A9" s="97" t="s">
        <v>417</v>
      </c>
      <c r="B9" s="296">
        <f>B7*0.9</f>
        <v>60358509.317069</v>
      </c>
      <c r="C9" s="296">
        <f>C7*0.9</f>
        <v>63709587.761817865</v>
      </c>
      <c r="D9" s="296">
        <f>D7*0.9</f>
        <v>67243856.4755271</v>
      </c>
    </row>
    <row r="10" spans="1:4" ht="12.75">
      <c r="A10" s="577"/>
      <c r="B10" s="577"/>
      <c r="C10" s="577"/>
      <c r="D10" s="577"/>
    </row>
    <row r="11" spans="1:4" ht="12.75">
      <c r="A11" s="99"/>
      <c r="B11" s="100"/>
      <c r="C11" s="100"/>
      <c r="D11" s="100"/>
    </row>
    <row r="12" spans="1:4" ht="12.75">
      <c r="A12" s="569" t="s">
        <v>419</v>
      </c>
      <c r="B12" s="571"/>
      <c r="C12" s="571"/>
      <c r="D12" s="571"/>
    </row>
    <row r="13" spans="1:4" ht="12.75">
      <c r="A13" s="570"/>
      <c r="B13" s="96">
        <f>Parâmetros!E10</f>
        <v>2023</v>
      </c>
      <c r="C13" s="96">
        <f>Parâmetros!F10</f>
        <v>2024</v>
      </c>
      <c r="D13" s="96">
        <f>Parâmetros!G10</f>
        <v>2025</v>
      </c>
    </row>
    <row r="14" spans="1:4" ht="12.75">
      <c r="A14" s="101" t="s">
        <v>420</v>
      </c>
      <c r="B14" s="296">
        <f>RCL!B17*0.06</f>
        <v>7451667.8169220975</v>
      </c>
      <c r="C14" s="296">
        <f>RCL!C17*0.06</f>
        <v>7865381.205162699</v>
      </c>
      <c r="D14" s="296">
        <f>RCL!D17*0.06</f>
        <v>8301710.675990998</v>
      </c>
    </row>
    <row r="15" spans="1:4" ht="12.75">
      <c r="A15" s="102" t="s">
        <v>421</v>
      </c>
      <c r="B15" s="296">
        <f>B14*0.95</f>
        <v>7079084.426075992</v>
      </c>
      <c r="C15" s="296">
        <f>C14*0.95</f>
        <v>7472112.144904564</v>
      </c>
      <c r="D15" s="296">
        <f>D14*0.95</f>
        <v>7886625.142191447</v>
      </c>
    </row>
    <row r="16" spans="1:4" ht="12.75">
      <c r="A16" s="103" t="s">
        <v>422</v>
      </c>
      <c r="B16" s="296">
        <f>B14*0.9</f>
        <v>6706501.035229888</v>
      </c>
      <c r="C16" s="296">
        <f>C14*0.9</f>
        <v>7078843.08464643</v>
      </c>
      <c r="D16" s="296">
        <f>D14*0.9</f>
        <v>7471539.608391898</v>
      </c>
    </row>
    <row r="19" spans="1:4" ht="12.75">
      <c r="A19" s="104"/>
      <c r="B19" s="109"/>
      <c r="C19" s="109"/>
      <c r="D19" s="109"/>
    </row>
    <row r="20" spans="1:4" ht="12.75">
      <c r="A20" s="109"/>
      <c r="B20" s="109"/>
      <c r="C20" s="109"/>
      <c r="D20" s="109"/>
    </row>
    <row r="21" spans="1:4" ht="12.75">
      <c r="A21" s="109"/>
      <c r="B21" s="109"/>
      <c r="C21" s="109"/>
      <c r="D21" s="109"/>
    </row>
    <row r="22" spans="1:4" ht="12.75">
      <c r="A22" s="109"/>
      <c r="B22" s="109"/>
      <c r="C22" s="109"/>
      <c r="D22" s="109"/>
    </row>
    <row r="23" spans="1:4" ht="12.75">
      <c r="A23" s="109"/>
      <c r="B23" s="109"/>
      <c r="C23" s="109"/>
      <c r="D23" s="109"/>
    </row>
    <row r="24" spans="1:4" ht="12.75">
      <c r="A24" s="109"/>
      <c r="B24" s="109"/>
      <c r="C24" s="109"/>
      <c r="D24" s="109"/>
    </row>
    <row r="25" spans="1:4" ht="12.75">
      <c r="A25" s="109"/>
      <c r="B25" s="109"/>
      <c r="C25" s="109"/>
      <c r="D25" s="109"/>
    </row>
    <row r="26" spans="1:4" ht="12.75">
      <c r="A26" s="109"/>
      <c r="B26" s="109"/>
      <c r="C26" s="109"/>
      <c r="D26" s="109"/>
    </row>
    <row r="27" spans="1:4" ht="12.75">
      <c r="A27" s="109"/>
      <c r="B27" s="109"/>
      <c r="C27" s="109"/>
      <c r="D27" s="109"/>
    </row>
    <row r="28" spans="1:4" ht="12.75">
      <c r="A28" s="109"/>
      <c r="B28" s="109"/>
      <c r="C28" s="109"/>
      <c r="D28" s="109"/>
    </row>
    <row r="29" spans="1:4" ht="12.75">
      <c r="A29" s="109"/>
      <c r="B29" s="109"/>
      <c r="C29" s="109"/>
      <c r="D29" s="109"/>
    </row>
    <row r="30" spans="1:4" ht="12.75">
      <c r="A30" s="109"/>
      <c r="B30" s="109"/>
      <c r="C30" s="109"/>
      <c r="D30" s="109"/>
    </row>
    <row r="31" spans="1:4" ht="12.75">
      <c r="A31" s="109"/>
      <c r="B31" s="109"/>
      <c r="C31" s="109"/>
      <c r="D31" s="109"/>
    </row>
    <row r="32" spans="1:4" ht="12.75">
      <c r="A32" s="109"/>
      <c r="B32" s="109"/>
      <c r="C32" s="109"/>
      <c r="D32" s="109"/>
    </row>
    <row r="33" spans="1:4" ht="12.75">
      <c r="A33" s="109"/>
      <c r="B33" s="109"/>
      <c r="C33" s="109"/>
      <c r="D33" s="109"/>
    </row>
    <row r="34" spans="1:4" ht="0.75" customHeight="1">
      <c r="A34" s="109"/>
      <c r="B34" s="109"/>
      <c r="C34" s="109"/>
      <c r="D34" s="109"/>
    </row>
    <row r="35" spans="1:4" ht="12.75" customHeight="1" hidden="1">
      <c r="A35" s="109"/>
      <c r="B35" s="109"/>
      <c r="C35" s="109"/>
      <c r="D35" s="109"/>
    </row>
    <row r="36" spans="1:4" ht="12.75" customHeight="1" hidden="1">
      <c r="A36" s="109"/>
      <c r="B36" s="109"/>
      <c r="C36" s="109"/>
      <c r="D36" s="109"/>
    </row>
    <row r="37" spans="1:4" ht="12.75" customHeight="1" hidden="1">
      <c r="A37" s="109"/>
      <c r="B37" s="109"/>
      <c r="C37" s="109"/>
      <c r="D37" s="109"/>
    </row>
    <row r="38" spans="1:4" ht="12.75" customHeight="1" hidden="1">
      <c r="A38" s="109"/>
      <c r="B38" s="109"/>
      <c r="C38" s="109"/>
      <c r="D38" s="109"/>
    </row>
    <row r="39" spans="1:4" ht="12.75" customHeight="1" hidden="1">
      <c r="A39" s="109"/>
      <c r="B39" s="109"/>
      <c r="C39" s="109"/>
      <c r="D39" s="109"/>
    </row>
    <row r="40" spans="1:4" ht="12.75" customHeight="1" hidden="1">
      <c r="A40" s="109"/>
      <c r="B40" s="109"/>
      <c r="C40" s="109"/>
      <c r="D40" s="109"/>
    </row>
    <row r="41" spans="1:4" ht="12.75" customHeight="1" hidden="1">
      <c r="A41" s="109"/>
      <c r="B41" s="109"/>
      <c r="C41" s="109"/>
      <c r="D41" s="109"/>
    </row>
  </sheetData>
  <sheetProtection/>
  <mergeCells count="8">
    <mergeCell ref="A12:A13"/>
    <mergeCell ref="B12:D12"/>
    <mergeCell ref="A1:D1"/>
    <mergeCell ref="A2:D2"/>
    <mergeCell ref="A3:D3"/>
    <mergeCell ref="A5:A6"/>
    <mergeCell ref="B5:D5"/>
    <mergeCell ref="A10:D10"/>
  </mergeCells>
  <printOptions/>
  <pageMargins left="0.511811024" right="0.511811024" top="0.787401575" bottom="0.787401575" header="0.31496062" footer="0.31496062"/>
  <pageSetup horizontalDpi="600" verticalDpi="600" orientation="portrait"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J46"/>
  <sheetViews>
    <sheetView showGridLines="0" zoomScale="90" zoomScaleNormal="90" zoomScalePageLayoutView="0" workbookViewId="0" topLeftCell="A1">
      <selection activeCell="E9" sqref="E9"/>
    </sheetView>
  </sheetViews>
  <sheetFormatPr defaultColWidth="32.00390625" defaultRowHeight="12.75"/>
  <cols>
    <col min="1" max="1" width="49.8515625" style="31" customWidth="1"/>
    <col min="2" max="2" width="16.8515625" style="32" customWidth="1"/>
    <col min="3" max="3" width="16.57421875" style="37" customWidth="1"/>
    <col min="4" max="4" width="16.4218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582" t="str">
        <f>Parâmetros!A7</f>
        <v>Município de : IVOTI</v>
      </c>
      <c r="B1" s="583"/>
      <c r="C1" s="583"/>
      <c r="D1" s="583"/>
      <c r="E1" s="583"/>
      <c r="F1" s="583"/>
      <c r="G1" s="583"/>
      <c r="H1" s="583"/>
      <c r="I1" s="583"/>
      <c r="J1" s="584"/>
    </row>
    <row r="2" spans="1:10" ht="12">
      <c r="A2" s="585" t="s">
        <v>636</v>
      </c>
      <c r="B2" s="583"/>
      <c r="C2" s="583"/>
      <c r="D2" s="583"/>
      <c r="E2" s="583"/>
      <c r="F2" s="583"/>
      <c r="G2" s="583"/>
      <c r="H2" s="583"/>
      <c r="I2" s="583"/>
      <c r="J2" s="584"/>
    </row>
    <row r="3" spans="1:10" ht="12">
      <c r="A3" s="585" t="s">
        <v>561</v>
      </c>
      <c r="B3" s="583"/>
      <c r="C3" s="583"/>
      <c r="D3" s="583"/>
      <c r="E3" s="583"/>
      <c r="F3" s="583"/>
      <c r="G3" s="583"/>
      <c r="H3" s="583"/>
      <c r="I3" s="583"/>
      <c r="J3" s="584"/>
    </row>
    <row r="4" spans="1:3" ht="12">
      <c r="A4" s="33"/>
      <c r="C4" s="30"/>
    </row>
    <row r="5" spans="1:7" ht="15">
      <c r="A5" s="581" t="s">
        <v>136</v>
      </c>
      <c r="B5" s="142">
        <f>Parâmetros!B10</f>
        <v>2020</v>
      </c>
      <c r="C5" s="142">
        <f>B5+1</f>
        <v>2021</v>
      </c>
      <c r="D5" s="142">
        <f>C5+1</f>
        <v>2022</v>
      </c>
      <c r="E5" s="142">
        <f>D5+1</f>
        <v>2023</v>
      </c>
      <c r="F5" s="142">
        <f>E5+1</f>
        <v>2024</v>
      </c>
      <c r="G5" s="142">
        <f>F5+1</f>
        <v>2025</v>
      </c>
    </row>
    <row r="6" spans="1:7" ht="39.75" customHeight="1">
      <c r="A6" s="581"/>
      <c r="B6" s="203" t="s">
        <v>119</v>
      </c>
      <c r="C6" s="162" t="s">
        <v>119</v>
      </c>
      <c r="D6" s="162" t="s">
        <v>120</v>
      </c>
      <c r="E6" s="162" t="s">
        <v>527</v>
      </c>
      <c r="F6" s="162" t="s">
        <v>527</v>
      </c>
      <c r="G6" s="162" t="s">
        <v>527</v>
      </c>
    </row>
    <row r="7" spans="1:7" ht="21.75" customHeight="1">
      <c r="A7" s="202" t="s">
        <v>521</v>
      </c>
      <c r="B7" s="204">
        <f aca="true" t="shared" si="0" ref="B7:G7">B8+B9+B10</f>
        <v>1350000</v>
      </c>
      <c r="C7" s="204">
        <f t="shared" si="0"/>
        <v>1012500</v>
      </c>
      <c r="D7" s="204">
        <f t="shared" si="0"/>
        <v>675000</v>
      </c>
      <c r="E7" s="204">
        <f>E8+E9+E10</f>
        <v>1012500</v>
      </c>
      <c r="F7" s="204">
        <f t="shared" si="0"/>
        <v>900000</v>
      </c>
      <c r="G7" s="204">
        <f t="shared" si="0"/>
        <v>862500</v>
      </c>
    </row>
    <row r="8" spans="1:7" ht="22.5" customHeight="1">
      <c r="A8" s="144" t="s">
        <v>518</v>
      </c>
      <c r="B8" s="53">
        <v>0</v>
      </c>
      <c r="C8" s="53">
        <v>0</v>
      </c>
      <c r="D8" s="53">
        <v>0</v>
      </c>
      <c r="E8" s="146">
        <f aca="true" t="shared" si="1" ref="E8:G10">(B8+C8+D8)/3</f>
        <v>0</v>
      </c>
      <c r="F8" s="146">
        <f t="shared" si="1"/>
        <v>0</v>
      </c>
      <c r="G8" s="146">
        <f t="shared" si="1"/>
        <v>0</v>
      </c>
    </row>
    <row r="9" spans="1:7" ht="22.5" customHeight="1">
      <c r="A9" s="144" t="s">
        <v>519</v>
      </c>
      <c r="B9" s="53">
        <v>1350000</v>
      </c>
      <c r="C9" s="53">
        <v>1012500</v>
      </c>
      <c r="D9" s="53">
        <v>675000</v>
      </c>
      <c r="E9" s="146">
        <f t="shared" si="1"/>
        <v>1012500</v>
      </c>
      <c r="F9" s="146">
        <f t="shared" si="1"/>
        <v>900000</v>
      </c>
      <c r="G9" s="146">
        <f t="shared" si="1"/>
        <v>862500</v>
      </c>
    </row>
    <row r="10" spans="1:7" ht="22.5" customHeight="1">
      <c r="A10" s="144" t="s">
        <v>520</v>
      </c>
      <c r="B10" s="53">
        <v>0</v>
      </c>
      <c r="C10" s="53">
        <v>0</v>
      </c>
      <c r="D10" s="53">
        <v>0</v>
      </c>
      <c r="E10" s="146">
        <f t="shared" si="1"/>
        <v>0</v>
      </c>
      <c r="F10" s="146">
        <f t="shared" si="1"/>
        <v>0</v>
      </c>
      <c r="G10" s="146">
        <f t="shared" si="1"/>
        <v>0</v>
      </c>
    </row>
    <row r="11" spans="1:7" ht="15">
      <c r="A11" s="144" t="s">
        <v>522</v>
      </c>
      <c r="B11" s="204">
        <f aca="true" t="shared" si="2" ref="B11:G11">B12-B13+B15</f>
        <v>24237448.360000003</v>
      </c>
      <c r="C11" s="204">
        <f t="shared" si="2"/>
        <v>37626259.25</v>
      </c>
      <c r="D11" s="204">
        <f>D12-D13-D14+D15</f>
        <v>54811007.60000001</v>
      </c>
      <c r="E11" s="204">
        <f t="shared" si="2"/>
        <v>39001254.50333333</v>
      </c>
      <c r="F11" s="204">
        <f t="shared" si="2"/>
        <v>43922523.21777778</v>
      </c>
      <c r="G11" s="204">
        <f t="shared" si="2"/>
        <v>46021277.8737037</v>
      </c>
    </row>
    <row r="12" spans="1:7" ht="15">
      <c r="A12" s="144" t="s">
        <v>523</v>
      </c>
      <c r="B12" s="447">
        <v>26969061.62</v>
      </c>
      <c r="C12" s="53">
        <v>40676500.43</v>
      </c>
      <c r="D12" s="53">
        <v>55289134.74</v>
      </c>
      <c r="E12" s="146">
        <f aca="true" t="shared" si="3" ref="E12:G15">(B12+C12+D12)/3</f>
        <v>40978232.26333333</v>
      </c>
      <c r="F12" s="146">
        <f t="shared" si="3"/>
        <v>45647955.811111115</v>
      </c>
      <c r="G12" s="146">
        <f t="shared" si="3"/>
        <v>47305107.60481482</v>
      </c>
    </row>
    <row r="13" spans="1:7" ht="15">
      <c r="A13" s="144" t="s">
        <v>524</v>
      </c>
      <c r="B13" s="447">
        <v>2758585.95</v>
      </c>
      <c r="C13" s="53">
        <v>3071403.01</v>
      </c>
      <c r="D13" s="53">
        <v>169155.93</v>
      </c>
      <c r="E13" s="146">
        <f t="shared" si="3"/>
        <v>1999714.9633333331</v>
      </c>
      <c r="F13" s="146">
        <f t="shared" si="3"/>
        <v>1746757.9677777777</v>
      </c>
      <c r="G13" s="146">
        <f t="shared" si="3"/>
        <v>1305209.6203703703</v>
      </c>
    </row>
    <row r="14" spans="1:7" ht="15">
      <c r="A14" s="144" t="s">
        <v>677</v>
      </c>
      <c r="B14" s="447"/>
      <c r="C14" s="53"/>
      <c r="D14" s="53">
        <v>329048.3</v>
      </c>
      <c r="E14" s="146"/>
      <c r="F14" s="146"/>
      <c r="G14" s="146"/>
    </row>
    <row r="15" spans="1:7" ht="15">
      <c r="A15" s="144" t="s">
        <v>526</v>
      </c>
      <c r="B15" s="447">
        <v>26972.69</v>
      </c>
      <c r="C15" s="53">
        <v>21161.83</v>
      </c>
      <c r="D15" s="53">
        <v>20077.09</v>
      </c>
      <c r="E15" s="146">
        <f t="shared" si="3"/>
        <v>22737.203333333335</v>
      </c>
      <c r="F15" s="146">
        <f t="shared" si="3"/>
        <v>21325.374444444446</v>
      </c>
      <c r="G15" s="146">
        <f t="shared" si="3"/>
        <v>21379.88925925926</v>
      </c>
    </row>
    <row r="16" spans="1:7" ht="20.25" customHeight="1">
      <c r="A16" s="144" t="s">
        <v>525</v>
      </c>
      <c r="B16" s="145">
        <f aca="true" t="shared" si="4" ref="B16:G16">B7-B11</f>
        <v>-22887448.360000003</v>
      </c>
      <c r="C16" s="145">
        <f t="shared" si="4"/>
        <v>-36613759.25</v>
      </c>
      <c r="D16" s="145">
        <f t="shared" si="4"/>
        <v>-54136007.60000001</v>
      </c>
      <c r="E16" s="145">
        <f t="shared" si="4"/>
        <v>-37988754.50333333</v>
      </c>
      <c r="F16" s="145">
        <f t="shared" si="4"/>
        <v>-43022523.21777778</v>
      </c>
      <c r="G16" s="145">
        <f t="shared" si="4"/>
        <v>-45158777.8737037</v>
      </c>
    </row>
    <row r="17" spans="1:7" ht="20.25" customHeight="1">
      <c r="A17" s="586" t="s">
        <v>637</v>
      </c>
      <c r="B17" s="587"/>
      <c r="C17" s="587"/>
      <c r="D17" s="588"/>
      <c r="E17" s="402">
        <f>E16/RCL!B15</f>
        <v>-0.305881223666982</v>
      </c>
      <c r="F17" s="402">
        <f>F16/RCL!C15</f>
        <v>-0.3281915174527476</v>
      </c>
      <c r="G17" s="402">
        <f>G16/RCL!D15</f>
        <v>-0.32638172759481027</v>
      </c>
    </row>
    <row r="18" spans="1:7" s="34" customFormat="1" ht="15">
      <c r="A18" s="42"/>
      <c r="B18" s="43"/>
      <c r="C18" s="43"/>
      <c r="D18" s="43"/>
      <c r="E18" s="43"/>
      <c r="F18" s="43"/>
      <c r="G18" s="43"/>
    </row>
    <row r="19" spans="1:7" ht="15">
      <c r="A19" s="44" t="s">
        <v>528</v>
      </c>
      <c r="B19" s="54"/>
      <c r="C19" s="45"/>
      <c r="D19" s="45"/>
      <c r="E19" s="45"/>
      <c r="F19" s="45"/>
      <c r="G19" s="46" t="s">
        <v>5</v>
      </c>
    </row>
    <row r="20" spans="1:7" ht="15">
      <c r="A20" s="581" t="s">
        <v>143</v>
      </c>
      <c r="B20" s="142">
        <f>Parâmetros!B10</f>
        <v>2020</v>
      </c>
      <c r="C20" s="142">
        <f>B20+1</f>
        <v>2021</v>
      </c>
      <c r="D20" s="142">
        <f>C20+1</f>
        <v>2022</v>
      </c>
      <c r="E20" s="142">
        <f>D20+1</f>
        <v>2023</v>
      </c>
      <c r="F20" s="142">
        <f>E20+1</f>
        <v>2024</v>
      </c>
      <c r="G20" s="142">
        <f>F20+1</f>
        <v>2025</v>
      </c>
    </row>
    <row r="21" spans="1:7" ht="15">
      <c r="A21" s="581"/>
      <c r="B21" s="142" t="s">
        <v>10</v>
      </c>
      <c r="C21" s="143" t="s">
        <v>10</v>
      </c>
      <c r="D21" s="143" t="s">
        <v>120</v>
      </c>
      <c r="E21" s="143" t="s">
        <v>11</v>
      </c>
      <c r="F21" s="143" t="s">
        <v>11</v>
      </c>
      <c r="G21" s="143" t="s">
        <v>11</v>
      </c>
    </row>
    <row r="22" spans="1:7" s="35" customFormat="1" ht="15">
      <c r="A22" s="147" t="s">
        <v>38</v>
      </c>
      <c r="B22" s="148">
        <f>Projeções!E80</f>
        <v>33250.17</v>
      </c>
      <c r="C22" s="148">
        <f>Projeções!F80</f>
        <v>0</v>
      </c>
      <c r="D22" s="148">
        <f>Projeções!G80</f>
        <v>0</v>
      </c>
      <c r="E22" s="55">
        <v>0</v>
      </c>
      <c r="F22" s="55">
        <v>0</v>
      </c>
      <c r="G22" s="55">
        <v>0</v>
      </c>
    </row>
    <row r="23" spans="1:7" ht="15">
      <c r="A23" s="144" t="s">
        <v>423</v>
      </c>
      <c r="B23" s="145">
        <f>Projeções!E126+Projeções!E127</f>
        <v>107332.58</v>
      </c>
      <c r="C23" s="145">
        <f>Projeções!F126+Projeções!F127</f>
        <v>14158.78</v>
      </c>
      <c r="D23" s="145">
        <f>Projeções!G126+Projeções!G127</f>
        <v>5000</v>
      </c>
      <c r="E23" s="145">
        <f>Projeções!H126+Projeções!H127</f>
        <v>56624.785284858415</v>
      </c>
      <c r="F23" s="145">
        <f>Projeções!I126+Projeções!I127</f>
        <v>61154.76810764709</v>
      </c>
      <c r="G23" s="145">
        <f>Projeções!J126+Projeções!J127</f>
        <v>65741.37571572061</v>
      </c>
    </row>
    <row r="24" spans="1:7" ht="15">
      <c r="A24" s="144" t="s">
        <v>424</v>
      </c>
      <c r="B24" s="145">
        <f>Projeções!E151+Projeções!E152</f>
        <v>758978.2</v>
      </c>
      <c r="C24" s="145">
        <f>Projeções!F151+Projeções!F152</f>
        <v>337500</v>
      </c>
      <c r="D24" s="145">
        <f>Projeções!G151+Projeções!G152</f>
        <v>337500</v>
      </c>
      <c r="E24" s="145">
        <f>Projeções!H151+Projeções!H152</f>
        <v>586993.067674233</v>
      </c>
      <c r="F24" s="145">
        <f>Projeções!I151+Projeções!I152</f>
        <v>607537.8250428311</v>
      </c>
      <c r="G24" s="145">
        <f>Projeções!J151+Projeções!J152</f>
        <v>625763.9597941161</v>
      </c>
    </row>
    <row r="25" spans="1:7" ht="15.75" customHeight="1" hidden="1">
      <c r="A25" s="57" t="s">
        <v>35</v>
      </c>
      <c r="B25" s="56"/>
      <c r="C25" s="56"/>
      <c r="D25" s="56"/>
      <c r="E25" s="56"/>
      <c r="F25" s="56"/>
      <c r="G25" s="56"/>
    </row>
    <row r="26" spans="1:7" ht="12.75">
      <c r="A26" s="578" t="s">
        <v>678</v>
      </c>
      <c r="B26" s="579"/>
      <c r="C26" s="579"/>
      <c r="D26" s="579"/>
      <c r="E26" s="579"/>
      <c r="F26" s="579"/>
      <c r="G26" s="580"/>
    </row>
    <row r="27" spans="1:3" ht="12">
      <c r="A27" s="33" t="s">
        <v>676</v>
      </c>
      <c r="C27" s="30"/>
    </row>
    <row r="28" spans="1:3" ht="12">
      <c r="A28" s="33"/>
      <c r="C28" s="30"/>
    </row>
    <row r="29" spans="1:3" ht="12">
      <c r="A29" s="33"/>
      <c r="C29" s="30"/>
    </row>
    <row r="30" spans="1:3" ht="12">
      <c r="A30" s="33"/>
      <c r="C30" s="30"/>
    </row>
    <row r="31" spans="1:3" ht="12">
      <c r="A31" s="33"/>
      <c r="C31" s="30"/>
    </row>
    <row r="32" spans="1:3" ht="12">
      <c r="A32" s="33"/>
      <c r="C32" s="30"/>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row r="45" ht="12">
      <c r="A45" s="36"/>
    </row>
    <row r="46" ht="12">
      <c r="A46" s="36"/>
    </row>
  </sheetData>
  <sheetProtection/>
  <mergeCells count="7">
    <mergeCell ref="A26:G26"/>
    <mergeCell ref="A20:A21"/>
    <mergeCell ref="A1:J1"/>
    <mergeCell ref="A2:J2"/>
    <mergeCell ref="A3:J3"/>
    <mergeCell ref="A5:A6"/>
    <mergeCell ref="A17:D17"/>
  </mergeCells>
  <printOptions/>
  <pageMargins left="0.787401575" right="0.787401575" top="0.984251969" bottom="0.984251969" header="0.492125985" footer="0.492125985"/>
  <pageSetup horizontalDpi="200" verticalDpi="200" orientation="portrait" scale="61" r:id="rId2"/>
  <drawing r:id="rId1"/>
</worksheet>
</file>

<file path=xl/worksheets/sheet6.xml><?xml version="1.0" encoding="utf-8"?>
<worksheet xmlns="http://schemas.openxmlformats.org/spreadsheetml/2006/main" xmlns:r="http://schemas.openxmlformats.org/officeDocument/2006/relationships">
  <dimension ref="A1:H81"/>
  <sheetViews>
    <sheetView zoomScalePageLayoutView="0" workbookViewId="0" topLeftCell="A16">
      <selection activeCell="D58" sqref="D58"/>
    </sheetView>
  </sheetViews>
  <sheetFormatPr defaultColWidth="32.00390625" defaultRowHeight="12.75"/>
  <cols>
    <col min="1" max="1" width="65.8515625" style="190" customWidth="1"/>
    <col min="2" max="2" width="15.57421875" style="192" customWidth="1"/>
    <col min="3" max="3" width="16.57421875" style="195" customWidth="1"/>
    <col min="4" max="4" width="16.7109375" style="190" customWidth="1"/>
    <col min="5" max="5" width="16.28125" style="190" customWidth="1"/>
    <col min="6" max="6" width="16.140625" style="190" customWidth="1"/>
    <col min="7" max="7" width="15.8515625" style="190" customWidth="1"/>
    <col min="8" max="16" width="13.7109375" style="190" customWidth="1"/>
    <col min="17" max="16384" width="32.00390625" style="190" customWidth="1"/>
  </cols>
  <sheetData>
    <row r="1" spans="1:8" ht="15">
      <c r="A1" s="590" t="str">
        <f>Parâmetros!A7</f>
        <v>Município de : IVOTI</v>
      </c>
      <c r="B1" s="591"/>
      <c r="C1" s="591"/>
      <c r="D1" s="591"/>
      <c r="E1" s="591"/>
      <c r="F1" s="591"/>
      <c r="G1" s="591"/>
      <c r="H1" s="592"/>
    </row>
    <row r="2" spans="1:8" ht="15">
      <c r="A2" s="593" t="s">
        <v>636</v>
      </c>
      <c r="B2" s="591"/>
      <c r="C2" s="591"/>
      <c r="D2" s="591"/>
      <c r="E2" s="591"/>
      <c r="F2" s="591"/>
      <c r="G2" s="591"/>
      <c r="H2" s="592"/>
    </row>
    <row r="3" spans="1:8" ht="15">
      <c r="A3" s="593" t="s">
        <v>562</v>
      </c>
      <c r="B3" s="591"/>
      <c r="C3" s="591"/>
      <c r="D3" s="591"/>
      <c r="E3" s="591"/>
      <c r="F3" s="591"/>
      <c r="G3" s="591"/>
      <c r="H3" s="592"/>
    </row>
    <row r="4" spans="1:3" ht="15">
      <c r="A4" s="191"/>
      <c r="C4" s="190"/>
    </row>
    <row r="5" spans="1:7" ht="15">
      <c r="A5" s="589" t="s">
        <v>443</v>
      </c>
      <c r="B5" s="179">
        <f>Parâmetros!B10</f>
        <v>2020</v>
      </c>
      <c r="C5" s="179">
        <f>B5+1</f>
        <v>2021</v>
      </c>
      <c r="D5" s="179">
        <f>C5+1</f>
        <v>2022</v>
      </c>
      <c r="E5" s="179">
        <f>D5+1</f>
        <v>2023</v>
      </c>
      <c r="F5" s="179">
        <f>E5+1</f>
        <v>2024</v>
      </c>
      <c r="G5" s="179">
        <f>F5+1</f>
        <v>2025</v>
      </c>
    </row>
    <row r="6" spans="1:7" ht="12.75" customHeight="1">
      <c r="A6" s="589"/>
      <c r="B6" s="179" t="s">
        <v>444</v>
      </c>
      <c r="C6" s="179" t="s">
        <v>444</v>
      </c>
      <c r="D6" s="180" t="s">
        <v>445</v>
      </c>
      <c r="E6" s="180" t="s">
        <v>445</v>
      </c>
      <c r="F6" s="180" t="s">
        <v>445</v>
      </c>
      <c r="G6" s="180" t="s">
        <v>445</v>
      </c>
    </row>
    <row r="7" spans="1:7" ht="19.5" customHeight="1">
      <c r="A7" s="181" t="s">
        <v>533</v>
      </c>
      <c r="B7" s="233">
        <f>Projeções!E8+Projeções!E104-Projeções!E108</f>
        <v>93213458.88000001</v>
      </c>
      <c r="C7" s="233">
        <f>Projeções!F8+Projeções!F104-Projeções!F108</f>
        <v>108814000.85</v>
      </c>
      <c r="D7" s="233">
        <f>Projeções!G8+Projeções!G104-Projeções!G108</f>
        <v>124269593.78685714</v>
      </c>
      <c r="E7" s="233">
        <f>Projeções!H8+Projeções!H104-Projeções!H108</f>
        <v>134760857.3914116</v>
      </c>
      <c r="F7" s="233">
        <f>Projeções!I8+Projeções!I104-Projeções!I108</f>
        <v>142200274.36232978</v>
      </c>
      <c r="G7" s="233">
        <f>Projeções!J8+Projeções!J104-Projeções!J108</f>
        <v>150007431.21387768</v>
      </c>
    </row>
    <row r="8" spans="1:7" ht="19.5" customHeight="1">
      <c r="A8" s="182" t="s">
        <v>446</v>
      </c>
      <c r="B8" s="233">
        <f>Projeções!E25-Projeções!E28</f>
        <v>402714.0499999998</v>
      </c>
      <c r="C8" s="233">
        <f>Projeções!F25-Projeções!F28</f>
        <v>1501673.0900000003</v>
      </c>
      <c r="D8" s="233">
        <f>Projeções!G25-Projeções!G28</f>
        <v>4982237.2328571435</v>
      </c>
      <c r="E8" s="233">
        <f>Projeções!H25-Projeções!H28</f>
        <v>2646866.1783234645</v>
      </c>
      <c r="F8" s="233">
        <f>Projeções!I25-Projeções!I28</f>
        <v>2786078.1049723877</v>
      </c>
      <c r="G8" s="233">
        <f>Projeções!J25-Projeções!J28</f>
        <v>2927053.657083993</v>
      </c>
    </row>
    <row r="9" spans="1:7" ht="19.5" customHeight="1">
      <c r="A9" s="182" t="s">
        <v>447</v>
      </c>
      <c r="B9" s="234">
        <f>Projeções!E28</f>
        <v>4216605.9</v>
      </c>
      <c r="C9" s="234">
        <f>Projeções!F28</f>
        <v>1885902.6700000004</v>
      </c>
      <c r="D9" s="234">
        <f>Projeções!G28</f>
        <v>8870000</v>
      </c>
      <c r="E9" s="234">
        <f>Projeções!H28</f>
        <v>5890247.455288881</v>
      </c>
      <c r="F9" s="234">
        <f>Projeções!I28</f>
        <v>6200045.020199799</v>
      </c>
      <c r="G9" s="234">
        <f>Projeções!J28</f>
        <v>6513767.298221909</v>
      </c>
    </row>
    <row r="10" spans="1:7" ht="19.5" customHeight="1">
      <c r="A10" s="182" t="s">
        <v>448</v>
      </c>
      <c r="B10" s="234">
        <f>Projeções!E37+Projeções!E70+Projeções!E75+Projeções!E77</f>
        <v>0</v>
      </c>
      <c r="C10" s="234">
        <f>Projeções!F37+Projeções!F70+Projeções!F75+Projeções!F77</f>
        <v>0</v>
      </c>
      <c r="D10" s="234">
        <f>Projeções!G37+Projeções!G70+Projeções!G75+Projeções!G77</f>
        <v>0</v>
      </c>
      <c r="E10" s="234">
        <f>Projeções!H37+Projeções!H70+Projeções!H75+Projeções!H77</f>
        <v>0</v>
      </c>
      <c r="F10" s="234">
        <f>Projeções!I37+Projeções!I70+Projeções!I75+Projeções!I77</f>
        <v>0</v>
      </c>
      <c r="G10" s="234">
        <f>Projeções!J37+Projeções!J70+Projeções!J75+Projeções!J77</f>
        <v>0</v>
      </c>
    </row>
    <row r="11" spans="1:7" ht="19.5" customHeight="1">
      <c r="A11" s="181" t="s">
        <v>475</v>
      </c>
      <c r="B11" s="235">
        <f aca="true" t="shared" si="0" ref="B11:G11">B7-B8-B9-B10</f>
        <v>88594138.93</v>
      </c>
      <c r="C11" s="235">
        <f t="shared" si="0"/>
        <v>105426425.08999999</v>
      </c>
      <c r="D11" s="235">
        <f t="shared" si="0"/>
        <v>110417356.554</v>
      </c>
      <c r="E11" s="235">
        <f t="shared" si="0"/>
        <v>126223743.75779925</v>
      </c>
      <c r="F11" s="235">
        <f t="shared" si="0"/>
        <v>133214151.23715758</v>
      </c>
      <c r="G11" s="235">
        <f t="shared" si="0"/>
        <v>140566610.25857177</v>
      </c>
    </row>
    <row r="12" spans="1:7" ht="19.5" customHeight="1">
      <c r="A12" s="181"/>
      <c r="B12" s="235"/>
      <c r="C12" s="235"/>
      <c r="D12" s="235"/>
      <c r="E12" s="235"/>
      <c r="F12" s="235"/>
      <c r="G12" s="235"/>
    </row>
    <row r="13" spans="1:7" ht="19.5" customHeight="1">
      <c r="A13" s="183" t="s">
        <v>534</v>
      </c>
      <c r="B13" s="235">
        <f>Projeções!E79+Projeções!E108</f>
        <v>1032929.0899999999</v>
      </c>
      <c r="C13" s="235">
        <f>Projeções!F79+Projeções!F108</f>
        <v>2377059.5</v>
      </c>
      <c r="D13" s="235">
        <f>Projeções!G79+Projeções!G108</f>
        <v>2688706</v>
      </c>
      <c r="E13" s="235">
        <f>Projeções!H79+Projeções!H108</f>
        <v>2417162.2975025536</v>
      </c>
      <c r="F13" s="235">
        <f>Projeções!I79+Projeções!I108</f>
        <v>2528032.6004458754</v>
      </c>
      <c r="G13" s="235">
        <f>Projeções!J79+Projeções!J108</f>
        <v>2636247.334102979</v>
      </c>
    </row>
    <row r="14" spans="1:7" ht="19.5" customHeight="1">
      <c r="A14" s="184" t="s">
        <v>449</v>
      </c>
      <c r="B14" s="234">
        <f>Projeções!E80</f>
        <v>33250.17</v>
      </c>
      <c r="C14" s="234">
        <f>Projeções!F80</f>
        <v>0</v>
      </c>
      <c r="D14" s="234">
        <f>Projeções!G80</f>
        <v>0</v>
      </c>
      <c r="E14" s="234">
        <f>Projeções!H80</f>
        <v>0</v>
      </c>
      <c r="F14" s="234">
        <f>Projeções!I80</f>
        <v>0</v>
      </c>
      <c r="G14" s="234">
        <f>Projeções!J80</f>
        <v>0</v>
      </c>
    </row>
    <row r="15" spans="1:7" ht="19.5" customHeight="1">
      <c r="A15" s="184" t="s">
        <v>450</v>
      </c>
      <c r="B15" s="234">
        <f>Projeções!E86</f>
        <v>12952.85</v>
      </c>
      <c r="C15" s="234">
        <f>Projeções!F86</f>
        <v>7280.33</v>
      </c>
      <c r="D15" s="234">
        <f>Projeções!G86</f>
        <v>9000</v>
      </c>
      <c r="E15" s="234">
        <f>Projeções!H86</f>
        <v>11840.852407508826</v>
      </c>
      <c r="F15" s="234">
        <f>Projeções!I86</f>
        <v>12255.282241771634</v>
      </c>
      <c r="G15" s="234">
        <f>Projeções!J86</f>
        <v>12622.940709024784</v>
      </c>
    </row>
    <row r="16" spans="1:7" ht="19.5" customHeight="1">
      <c r="A16" s="184" t="s">
        <v>451</v>
      </c>
      <c r="B16" s="234">
        <f>Projeções!E82+Projeções!E83</f>
        <v>0</v>
      </c>
      <c r="C16" s="234">
        <f>Projeções!F82+Projeções!F83</f>
        <v>0</v>
      </c>
      <c r="D16" s="234">
        <f>Projeções!G82+Projeções!G83</f>
        <v>0</v>
      </c>
      <c r="E16" s="234">
        <f>Projeções!H82+Projeções!H83</f>
        <v>0</v>
      </c>
      <c r="F16" s="234">
        <f>Projeções!I82+Projeções!I83</f>
        <v>0</v>
      </c>
      <c r="G16" s="234">
        <f>Projeções!J82+Projeções!J83</f>
        <v>0</v>
      </c>
    </row>
    <row r="17" spans="1:7" ht="19.5" customHeight="1">
      <c r="A17" s="184" t="s">
        <v>452</v>
      </c>
      <c r="B17" s="234">
        <f>Projeções!E97</f>
        <v>0</v>
      </c>
      <c r="C17" s="234">
        <f>Projeções!F97</f>
        <v>0</v>
      </c>
      <c r="D17" s="234">
        <f>Projeções!G97</f>
        <v>0</v>
      </c>
      <c r="E17" s="234">
        <f>Projeções!H97</f>
        <v>0</v>
      </c>
      <c r="F17" s="234">
        <f>Projeções!I97</f>
        <v>0</v>
      </c>
      <c r="G17" s="234">
        <f>Projeções!J97</f>
        <v>0</v>
      </c>
    </row>
    <row r="18" spans="1:7" ht="19.5" customHeight="1">
      <c r="A18" s="183" t="s">
        <v>476</v>
      </c>
      <c r="B18" s="235">
        <f aca="true" t="shared" si="1" ref="B18:G18">B13-B14-B15-B16-B17</f>
        <v>986726.0699999998</v>
      </c>
      <c r="C18" s="235">
        <f t="shared" si="1"/>
        <v>2369779.17</v>
      </c>
      <c r="D18" s="235">
        <f t="shared" si="1"/>
        <v>2679706</v>
      </c>
      <c r="E18" s="235">
        <f t="shared" si="1"/>
        <v>2405321.4450950446</v>
      </c>
      <c r="F18" s="235">
        <f t="shared" si="1"/>
        <v>2515777.318204104</v>
      </c>
      <c r="G18" s="235">
        <f t="shared" si="1"/>
        <v>2623624.3933939543</v>
      </c>
    </row>
    <row r="19" spans="1:7" s="193" customFormat="1" ht="19.5" customHeight="1">
      <c r="A19" s="186" t="s">
        <v>477</v>
      </c>
      <c r="B19" s="236">
        <f aca="true" t="shared" si="2" ref="B19:G19">B11+B18</f>
        <v>89580865</v>
      </c>
      <c r="C19" s="236">
        <f t="shared" si="2"/>
        <v>107796204.25999999</v>
      </c>
      <c r="D19" s="236">
        <f t="shared" si="2"/>
        <v>113097062.554</v>
      </c>
      <c r="E19" s="236">
        <f t="shared" si="2"/>
        <v>128629065.2028943</v>
      </c>
      <c r="F19" s="236">
        <f t="shared" si="2"/>
        <v>135729928.5553617</v>
      </c>
      <c r="G19" s="236">
        <f t="shared" si="2"/>
        <v>143190234.65196574</v>
      </c>
    </row>
    <row r="20" ht="15">
      <c r="A20" s="194"/>
    </row>
    <row r="21" spans="1:7" ht="15">
      <c r="A21" s="589" t="s">
        <v>470</v>
      </c>
      <c r="B21" s="179">
        <f>B5</f>
        <v>2020</v>
      </c>
      <c r="C21" s="179">
        <f>B21+1</f>
        <v>2021</v>
      </c>
      <c r="D21" s="179">
        <f>C21+1</f>
        <v>2022</v>
      </c>
      <c r="E21" s="179">
        <f>D21+1</f>
        <v>2023</v>
      </c>
      <c r="F21" s="179">
        <f>E21+1</f>
        <v>2024</v>
      </c>
      <c r="G21" s="179">
        <f>F21+1</f>
        <v>2025</v>
      </c>
    </row>
    <row r="22" spans="1:7" ht="15">
      <c r="A22" s="589"/>
      <c r="B22" s="179" t="s">
        <v>480</v>
      </c>
      <c r="C22" s="179" t="s">
        <v>480</v>
      </c>
      <c r="D22" s="180" t="s">
        <v>481</v>
      </c>
      <c r="E22" s="180" t="s">
        <v>445</v>
      </c>
      <c r="F22" s="180" t="s">
        <v>445</v>
      </c>
      <c r="G22" s="180" t="s">
        <v>445</v>
      </c>
    </row>
    <row r="23" spans="1:7" ht="15">
      <c r="A23" s="181" t="s">
        <v>535</v>
      </c>
      <c r="B23" s="237">
        <f>Projeções!E118-Projeções!E124-Projeções!E130-Projeções!E136</f>
        <v>67618977.72</v>
      </c>
      <c r="C23" s="237">
        <f>Projeções!F118-Projeções!F124-Projeções!F130-Projeções!F136</f>
        <v>73925702.92</v>
      </c>
      <c r="D23" s="237">
        <f>Projeções!G118-Projeções!G124-Projeções!G130-Projeções!G136</f>
        <v>84747446.40857142</v>
      </c>
      <c r="E23" s="237">
        <f>Projeções!H118-Projeções!H124-Projeções!H130-Projeções!H136</f>
        <v>95587854.1566995</v>
      </c>
      <c r="F23" s="237">
        <f>Projeções!I118-Projeções!I124-Projeções!I130-Projeções!I136</f>
        <v>102081742.24055879</v>
      </c>
      <c r="G23" s="237">
        <f>Projeções!J118-Projeções!J124-Projeções!J130-Projeções!J136</f>
        <v>108400618.03818616</v>
      </c>
    </row>
    <row r="24" spans="1:7" ht="15">
      <c r="A24" s="182" t="s">
        <v>471</v>
      </c>
      <c r="B24" s="233">
        <f>Projeções!E125-Projeções!E130</f>
        <v>107332.58</v>
      </c>
      <c r="C24" s="233">
        <f>Projeções!F125-Projeções!F130</f>
        <v>14158.78</v>
      </c>
      <c r="D24" s="233">
        <f>Projeções!G125-Projeções!G130</f>
        <v>5000</v>
      </c>
      <c r="E24" s="233">
        <f>Projeções!H125-Projeções!H130</f>
        <v>56624.785284858415</v>
      </c>
      <c r="F24" s="233">
        <f>Projeções!I125-Projeções!I130</f>
        <v>61154.76810764709</v>
      </c>
      <c r="G24" s="233">
        <f>Projeções!J125-Projeções!J130</f>
        <v>65741.37571572061</v>
      </c>
    </row>
    <row r="25" spans="1:7" ht="15">
      <c r="A25" s="181" t="s">
        <v>478</v>
      </c>
      <c r="B25" s="235">
        <f aca="true" t="shared" si="3" ref="B25:G25">B23-B24</f>
        <v>67511645.14</v>
      </c>
      <c r="C25" s="235">
        <f t="shared" si="3"/>
        <v>73911544.14</v>
      </c>
      <c r="D25" s="235">
        <f t="shared" si="3"/>
        <v>84742446.40857142</v>
      </c>
      <c r="E25" s="235">
        <f t="shared" si="3"/>
        <v>95531229.37141463</v>
      </c>
      <c r="F25" s="235">
        <f t="shared" si="3"/>
        <v>102020587.47245114</v>
      </c>
      <c r="G25" s="235">
        <f t="shared" si="3"/>
        <v>108334876.66247045</v>
      </c>
    </row>
    <row r="26" spans="1:7" ht="15">
      <c r="A26" s="181"/>
      <c r="B26" s="235"/>
      <c r="C26" s="235"/>
      <c r="D26" s="235"/>
      <c r="E26" s="235"/>
      <c r="F26" s="235"/>
      <c r="G26" s="235"/>
    </row>
    <row r="27" spans="1:7" ht="15">
      <c r="A27" s="183" t="s">
        <v>536</v>
      </c>
      <c r="B27" s="235">
        <f>Projeções!E137-Projeções!E143-Projeções!E149-Projeções!E155</f>
        <v>5675586.850000001</v>
      </c>
      <c r="C27" s="235">
        <f>Projeções!F137-Projeções!F143-Projeções!F149-Projeções!F155</f>
        <v>13699506.01</v>
      </c>
      <c r="D27" s="235">
        <f>Projeções!G137-Projeções!G143-Projeções!G149-Projeções!G155</f>
        <v>12721950.27</v>
      </c>
      <c r="E27" s="235">
        <f>Projeções!H137-Projeções!H143-Projeções!H149-Projeções!H155</f>
        <v>14750577.796564082</v>
      </c>
      <c r="F27" s="235">
        <f>Projeções!I137-Projeções!I143-Projeções!I149-Projeções!I155</f>
        <v>18037995.787624773</v>
      </c>
      <c r="G27" s="235">
        <f>Projeções!J137-Projeções!J143-Projeções!J149-Projeções!J155</f>
        <v>22087595.568406563</v>
      </c>
    </row>
    <row r="28" spans="1:7" ht="15">
      <c r="A28" s="184" t="s">
        <v>472</v>
      </c>
      <c r="B28" s="234">
        <f>Projeções!E145</f>
        <v>0</v>
      </c>
      <c r="C28" s="234">
        <f>Projeções!F145</f>
        <v>0</v>
      </c>
      <c r="D28" s="234">
        <f>Projeções!G145</f>
        <v>0</v>
      </c>
      <c r="E28" s="234">
        <f>Projeções!H145</f>
        <v>0</v>
      </c>
      <c r="F28" s="234">
        <f>Projeções!I145</f>
        <v>0</v>
      </c>
      <c r="G28" s="234">
        <f>Projeções!J145</f>
        <v>0</v>
      </c>
    </row>
    <row r="29" spans="1:7" ht="15">
      <c r="A29" s="184" t="s">
        <v>544</v>
      </c>
      <c r="B29" s="234"/>
      <c r="C29" s="234"/>
      <c r="D29" s="234"/>
      <c r="E29" s="234"/>
      <c r="F29" s="234"/>
      <c r="G29" s="234"/>
    </row>
    <row r="30" spans="1:7" ht="15">
      <c r="A30" s="184" t="s">
        <v>473</v>
      </c>
      <c r="B30" s="234"/>
      <c r="C30" s="234"/>
      <c r="D30" s="234"/>
      <c r="E30" s="234"/>
      <c r="F30" s="234"/>
      <c r="G30" s="234"/>
    </row>
    <row r="31" spans="1:7" ht="15">
      <c r="A31" s="184" t="s">
        <v>474</v>
      </c>
      <c r="B31" s="234">
        <f>Projeções!E150-Projeções!E155</f>
        <v>758978.2</v>
      </c>
      <c r="C31" s="234">
        <f>Projeções!F150-Projeções!F155</f>
        <v>337500</v>
      </c>
      <c r="D31" s="234">
        <f>Projeções!G150-Projeções!G155</f>
        <v>337500</v>
      </c>
      <c r="E31" s="234">
        <f>Projeções!H150-Projeções!H155</f>
        <v>586993.067674233</v>
      </c>
      <c r="F31" s="234">
        <f>Projeções!I150-Projeções!I155</f>
        <v>607537.8250428311</v>
      </c>
      <c r="G31" s="234">
        <f>Projeções!J150-Projeções!J155</f>
        <v>625763.9597941161</v>
      </c>
    </row>
    <row r="32" spans="1:7" ht="15">
      <c r="A32" s="183" t="s">
        <v>479</v>
      </c>
      <c r="B32" s="235">
        <f aca="true" t="shared" si="4" ref="B32:G32">B27-B28-B29-B30-B31</f>
        <v>4916608.65</v>
      </c>
      <c r="C32" s="235">
        <f t="shared" si="4"/>
        <v>13362006.01</v>
      </c>
      <c r="D32" s="235">
        <f t="shared" si="4"/>
        <v>12384450.27</v>
      </c>
      <c r="E32" s="235">
        <f t="shared" si="4"/>
        <v>14163584.728889849</v>
      </c>
      <c r="F32" s="235">
        <f t="shared" si="4"/>
        <v>17430457.96258194</v>
      </c>
      <c r="G32" s="235">
        <f t="shared" si="4"/>
        <v>21461831.608612448</v>
      </c>
    </row>
    <row r="33" spans="1:7" ht="15">
      <c r="A33" s="186" t="s">
        <v>570</v>
      </c>
      <c r="B33" s="236">
        <f aca="true" t="shared" si="5" ref="B33:G33">B25+B32</f>
        <v>72428253.79</v>
      </c>
      <c r="C33" s="236">
        <f t="shared" si="5"/>
        <v>87273550.15</v>
      </c>
      <c r="D33" s="236">
        <f t="shared" si="5"/>
        <v>97126896.67857142</v>
      </c>
      <c r="E33" s="236">
        <f t="shared" si="5"/>
        <v>109694814.10030448</v>
      </c>
      <c r="F33" s="236">
        <f t="shared" si="5"/>
        <v>119451045.43503308</v>
      </c>
      <c r="G33" s="236">
        <f t="shared" si="5"/>
        <v>129796708.2710829</v>
      </c>
    </row>
    <row r="34" spans="1:7" ht="15">
      <c r="A34" s="291" t="s">
        <v>569</v>
      </c>
      <c r="B34" s="292"/>
      <c r="C34" s="292"/>
      <c r="D34" s="292"/>
      <c r="E34" s="236">
        <f>Projeções!H156+Projeções!H157</f>
        <v>29112860.26839109</v>
      </c>
      <c r="F34" s="236">
        <f>Projeções!I156+Projeções!I157</f>
        <v>27413746.495311864</v>
      </c>
      <c r="G34" s="236">
        <f>Projeções!J156+Projeções!J157</f>
        <v>25448195.9053594</v>
      </c>
    </row>
    <row r="35" spans="1:7" ht="15">
      <c r="A35" s="186" t="s">
        <v>571</v>
      </c>
      <c r="B35" s="292"/>
      <c r="C35" s="292"/>
      <c r="D35" s="292"/>
      <c r="E35" s="236">
        <f>E33+E34</f>
        <v>138807674.3686956</v>
      </c>
      <c r="F35" s="236">
        <f>F33+F34</f>
        <v>146864791.93034494</v>
      </c>
      <c r="G35" s="236">
        <f>G33+G34</f>
        <v>155244904.1764423</v>
      </c>
    </row>
    <row r="36" spans="1:7" ht="15">
      <c r="A36" s="186"/>
      <c r="B36" s="292"/>
      <c r="C36" s="292"/>
      <c r="D36" s="292"/>
      <c r="E36" s="236"/>
      <c r="F36" s="236"/>
      <c r="G36" s="236"/>
    </row>
    <row r="37" spans="1:7" ht="15">
      <c r="A37" s="200" t="s">
        <v>572</v>
      </c>
      <c r="B37" s="201">
        <f>B19-B33</f>
        <v>17152611.209999993</v>
      </c>
      <c r="C37" s="201">
        <f>C19-C33</f>
        <v>20522654.109999985</v>
      </c>
      <c r="D37" s="201">
        <f>D19-D33</f>
        <v>15970165.875428587</v>
      </c>
      <c r="E37" s="201">
        <f>E19-E35</f>
        <v>-10178609.165801287</v>
      </c>
      <c r="F37" s="201">
        <f>F19-F35</f>
        <v>-11134863.374983251</v>
      </c>
      <c r="G37" s="201">
        <f>G19-G35</f>
        <v>-12054669.524476558</v>
      </c>
    </row>
    <row r="39" spans="1:7" ht="15">
      <c r="A39" s="589" t="s">
        <v>482</v>
      </c>
      <c r="B39" s="179">
        <f>B21</f>
        <v>2020</v>
      </c>
      <c r="C39" s="179">
        <f>B39+1</f>
        <v>2021</v>
      </c>
      <c r="D39" s="179">
        <f>C39+1</f>
        <v>2022</v>
      </c>
      <c r="E39" s="179">
        <f>D39+1</f>
        <v>2023</v>
      </c>
      <c r="F39" s="179">
        <f>E39+1</f>
        <v>2024</v>
      </c>
      <c r="G39" s="179">
        <f>F39+1</f>
        <v>2025</v>
      </c>
    </row>
    <row r="40" spans="1:7" ht="15.75" thickBot="1">
      <c r="A40" s="589"/>
      <c r="B40" s="179" t="s">
        <v>119</v>
      </c>
      <c r="C40" s="179" t="s">
        <v>119</v>
      </c>
      <c r="D40" s="180" t="s">
        <v>119</v>
      </c>
      <c r="E40" s="180" t="s">
        <v>445</v>
      </c>
      <c r="F40" s="180" t="s">
        <v>445</v>
      </c>
      <c r="G40" s="180" t="s">
        <v>445</v>
      </c>
    </row>
    <row r="41" spans="1:7" ht="30.75" thickBot="1">
      <c r="A41" s="187" t="s">
        <v>483</v>
      </c>
      <c r="B41" s="185"/>
      <c r="C41" s="185"/>
      <c r="D41" s="185"/>
      <c r="E41" s="234">
        <f>((B41+C41+D41)/3)*(1+Parâmetros!E21)</f>
        <v>0</v>
      </c>
      <c r="F41" s="234">
        <f>((C41+D41+E41)/3)*(1+Parâmetros!F21)</f>
        <v>0</v>
      </c>
      <c r="G41" s="234">
        <f>((D41+E41+F41)/3)*(1+Parâmetros!G21)</f>
        <v>0</v>
      </c>
    </row>
    <row r="42" spans="1:7" ht="30.75" thickBot="1">
      <c r="A42" s="188" t="s">
        <v>484</v>
      </c>
      <c r="B42" s="185">
        <v>0</v>
      </c>
      <c r="C42" s="185">
        <v>0</v>
      </c>
      <c r="D42" s="185">
        <v>0</v>
      </c>
      <c r="E42" s="234">
        <f>((B42+C42+D42)/3)*(1+Parâmetros!E21)</f>
        <v>0</v>
      </c>
      <c r="F42" s="234">
        <f>((C42+D42+E42)/3)*(1+Parâmetros!F21)</f>
        <v>0</v>
      </c>
      <c r="G42" s="234">
        <f>((D42+E42+F42)/3)*(1+Parâmetros!G21)</f>
        <v>0</v>
      </c>
    </row>
    <row r="43" spans="1:7" ht="30.75" thickBot="1">
      <c r="A43" s="188" t="s">
        <v>485</v>
      </c>
      <c r="B43" s="185">
        <v>0</v>
      </c>
      <c r="C43" s="185">
        <v>0</v>
      </c>
      <c r="D43" s="185">
        <v>0</v>
      </c>
      <c r="E43" s="234">
        <f>((B43+C43+D43)/3)*(1+Parâmetros!E21)</f>
        <v>0</v>
      </c>
      <c r="F43" s="234">
        <f>((C43+D43+E43)/3)*(1+Parâmetros!F21)</f>
        <v>0</v>
      </c>
      <c r="G43" s="234">
        <f>((D43+E43+F43)/3)*(1+Parâmetros!G21)</f>
        <v>0</v>
      </c>
    </row>
    <row r="44" spans="1:7" ht="30.75" thickBot="1">
      <c r="A44" s="188" t="s">
        <v>486</v>
      </c>
      <c r="B44" s="185">
        <v>0</v>
      </c>
      <c r="C44" s="185">
        <v>0</v>
      </c>
      <c r="D44" s="185">
        <v>0</v>
      </c>
      <c r="E44" s="234">
        <f>((B44+C44+D44)/3)*(1+Parâmetros!E21)</f>
        <v>0</v>
      </c>
      <c r="F44" s="234">
        <f>((C44+D44+E44)/3)*(1+Parâmetros!F21)</f>
        <v>0</v>
      </c>
      <c r="G44" s="234">
        <f>((D44+E44+F44)/3)*(1+Parâmetros!G21)</f>
        <v>0</v>
      </c>
    </row>
    <row r="45" spans="1:7" ht="30.75" thickBot="1">
      <c r="A45" s="188" t="s">
        <v>487</v>
      </c>
      <c r="B45" s="185">
        <v>0</v>
      </c>
      <c r="C45" s="185">
        <v>0</v>
      </c>
      <c r="D45" s="185">
        <v>0</v>
      </c>
      <c r="E45" s="234">
        <f>((B45+C45+D45)/3)*(1+Parâmetros!E21)</f>
        <v>0</v>
      </c>
      <c r="F45" s="234">
        <f>((C45+D45+E45)/3)*(1+Parâmetros!F21)</f>
        <v>0</v>
      </c>
      <c r="G45" s="234">
        <f>((D45+E45+F45)/3)*(1+Parâmetros!G21)</f>
        <v>0</v>
      </c>
    </row>
    <row r="46" spans="1:7" ht="30.75" thickBot="1">
      <c r="A46" s="188" t="s">
        <v>488</v>
      </c>
      <c r="B46" s="185">
        <v>0</v>
      </c>
      <c r="C46" s="185">
        <v>0</v>
      </c>
      <c r="D46" s="185">
        <v>0</v>
      </c>
      <c r="E46" s="234">
        <f>((B46+C46+D46)/3)*(1+Parâmetros!E21)</f>
        <v>0</v>
      </c>
      <c r="F46" s="234">
        <f>((C46+D46+E46)/3)*(1+Parâmetros!F21)</f>
        <v>0</v>
      </c>
      <c r="G46" s="234">
        <f>((D46+E46+F46)/3)*(1+Parâmetros!G21)</f>
        <v>0</v>
      </c>
    </row>
    <row r="47" spans="1:7" ht="30.75" thickBot="1">
      <c r="A47" s="188" t="s">
        <v>489</v>
      </c>
      <c r="B47" s="185">
        <v>0</v>
      </c>
      <c r="C47" s="185">
        <v>0</v>
      </c>
      <c r="D47" s="185">
        <v>0</v>
      </c>
      <c r="E47" s="234">
        <f>((B47+C47+D47)/3)*(1+Parâmetros!E21)</f>
        <v>0</v>
      </c>
      <c r="F47" s="234">
        <f>((C47+D47+E47)/3)*(1+Parâmetros!F21)</f>
        <v>0</v>
      </c>
      <c r="G47" s="234">
        <f>((D47+E47+F47)/3)*(1+Parâmetros!G21)</f>
        <v>0</v>
      </c>
    </row>
    <row r="48" spans="1:7" ht="30.75" thickBot="1">
      <c r="A48" s="188" t="s">
        <v>490</v>
      </c>
      <c r="B48" s="185">
        <v>0</v>
      </c>
      <c r="C48" s="185">
        <v>0</v>
      </c>
      <c r="D48" s="185">
        <v>0</v>
      </c>
      <c r="E48" s="234">
        <f>((B48+C48+D48)/3)*(1+Parâmetros!E21)</f>
        <v>0</v>
      </c>
      <c r="F48" s="234">
        <f>((C48+D48+E48)/3)*(1+Parâmetros!F21)</f>
        <v>0</v>
      </c>
      <c r="G48" s="234">
        <f>((D48+E48+F48)/3)*(1+Parâmetros!G21)</f>
        <v>0</v>
      </c>
    </row>
    <row r="49" spans="1:7" ht="30.75" thickBot="1">
      <c r="A49" s="188" t="s">
        <v>491</v>
      </c>
      <c r="B49" s="185">
        <v>0</v>
      </c>
      <c r="C49" s="185">
        <v>0</v>
      </c>
      <c r="D49" s="185">
        <v>0</v>
      </c>
      <c r="E49" s="234">
        <f>((B49+C49+D49)/3)*(1+Parâmetros!E21)</f>
        <v>0</v>
      </c>
      <c r="F49" s="234">
        <f>((C49+D49+E49)/3)*(1+Parâmetros!F21)</f>
        <v>0</v>
      </c>
      <c r="G49" s="234">
        <f>((D49+E49+F49)/3)*(1+Parâmetros!G21)</f>
        <v>0</v>
      </c>
    </row>
    <row r="50" spans="1:7" ht="30.75" thickBot="1">
      <c r="A50" s="188" t="s">
        <v>492</v>
      </c>
      <c r="B50" s="185">
        <v>0</v>
      </c>
      <c r="C50" s="185">
        <v>0</v>
      </c>
      <c r="D50" s="185">
        <v>0</v>
      </c>
      <c r="E50" s="234">
        <f>((B50+C50+D50)/3)*(1+Parâmetros!E21)</f>
        <v>0</v>
      </c>
      <c r="F50" s="234">
        <f>((C50+D50+E50)/3)*(1+Parâmetros!F21)</f>
        <v>0</v>
      </c>
      <c r="G50" s="234">
        <f>((D50+E50+F50)/3)*(1+Parâmetros!G21)</f>
        <v>0</v>
      </c>
    </row>
    <row r="51" spans="1:7" ht="30.75" thickBot="1">
      <c r="A51" s="188" t="s">
        <v>493</v>
      </c>
      <c r="B51" s="185">
        <v>0</v>
      </c>
      <c r="C51" s="185">
        <v>0</v>
      </c>
      <c r="D51" s="185">
        <v>0</v>
      </c>
      <c r="E51" s="234">
        <f>((B51+C51+D51)/3)*(1+Parâmetros!E21)</f>
        <v>0</v>
      </c>
      <c r="F51" s="234">
        <f>((C51+D51+E51)/3)*(1+Parâmetros!F21)</f>
        <v>0</v>
      </c>
      <c r="G51" s="234">
        <f>((D51+E51+F51)/3)*(1+Parâmetros!G21)</f>
        <v>0</v>
      </c>
    </row>
    <row r="52" spans="1:7" ht="30.75" thickBot="1">
      <c r="A52" s="188" t="s">
        <v>494</v>
      </c>
      <c r="B52" s="185">
        <v>0</v>
      </c>
      <c r="C52" s="185">
        <v>0</v>
      </c>
      <c r="D52" s="185">
        <v>0</v>
      </c>
      <c r="E52" s="234">
        <f>((B52+C52+D52)/3)*(1+Parâmetros!E21)</f>
        <v>0</v>
      </c>
      <c r="F52" s="234">
        <f>((C52+D52+E52)/3)*(1+Parâmetros!F21)</f>
        <v>0</v>
      </c>
      <c r="G52" s="234">
        <f>((D52+E52+F52)/3)*(1+Parâmetros!G21)</f>
        <v>0</v>
      </c>
    </row>
    <row r="53" spans="1:7" ht="30.75" thickBot="1">
      <c r="A53" s="188" t="s">
        <v>495</v>
      </c>
      <c r="B53" s="185">
        <v>0</v>
      </c>
      <c r="C53" s="185">
        <v>0</v>
      </c>
      <c r="D53" s="185">
        <v>0</v>
      </c>
      <c r="E53" s="234">
        <f>((B53+C53+D53)/3)*(1+Parâmetros!E21)</f>
        <v>0</v>
      </c>
      <c r="F53" s="234">
        <f>((C53+D53+E53)/3)*(1+Parâmetros!F21)</f>
        <v>0</v>
      </c>
      <c r="G53" s="234">
        <f>((D53+E53+F53)/3)*(1+Parâmetros!G21)</f>
        <v>0</v>
      </c>
    </row>
    <row r="54" spans="1:7" ht="30.75" thickBot="1">
      <c r="A54" s="188" t="s">
        <v>496</v>
      </c>
      <c r="B54" s="185">
        <v>0</v>
      </c>
      <c r="C54" s="185">
        <v>0</v>
      </c>
      <c r="D54" s="185">
        <v>0</v>
      </c>
      <c r="E54" s="234">
        <f>((B54+C54+D54)/3)*(1+Parâmetros!E21)</f>
        <v>0</v>
      </c>
      <c r="F54" s="234">
        <f>((C54+D54+E54)/3)*(1+Parâmetros!F21)</f>
        <v>0</v>
      </c>
      <c r="G54" s="234">
        <f>((D54+E54+F54)/3)*(1+Parâmetros!G21)</f>
        <v>0</v>
      </c>
    </row>
    <row r="55" spans="1:7" ht="30.75" thickBot="1">
      <c r="A55" s="188" t="s">
        <v>497</v>
      </c>
      <c r="B55" s="185">
        <v>0</v>
      </c>
      <c r="C55" s="185">
        <v>0</v>
      </c>
      <c r="D55" s="185">
        <v>0</v>
      </c>
      <c r="E55" s="234">
        <f>((B55+C55+D55)/3)*(1+Parâmetros!E21)</f>
        <v>0</v>
      </c>
      <c r="F55" s="234">
        <f>((C55+D55+E55)/3)*(1+Parâmetros!F21)</f>
        <v>0</v>
      </c>
      <c r="G55" s="234">
        <f>((D55+E55+F55)/3)*(1+Parâmetros!G21)</f>
        <v>0</v>
      </c>
    </row>
    <row r="56" spans="1:7" ht="15.75" thickBot="1">
      <c r="A56" s="188" t="s">
        <v>498</v>
      </c>
      <c r="B56" s="185">
        <v>0</v>
      </c>
      <c r="C56" s="185">
        <v>0</v>
      </c>
      <c r="D56" s="185">
        <v>0</v>
      </c>
      <c r="E56" s="234">
        <f>((B56+C56+D56)/3)*(1+Parâmetros!E21)</f>
        <v>0</v>
      </c>
      <c r="F56" s="234">
        <f>((C56+D56+E56)/3)*(1+Parâmetros!F21)</f>
        <v>0</v>
      </c>
      <c r="G56" s="234">
        <f>((D56+E56+F56)/3)*(1+Parâmetros!G21)</f>
        <v>0</v>
      </c>
    </row>
    <row r="57" spans="1:7" ht="15">
      <c r="A57" s="189" t="s">
        <v>499</v>
      </c>
      <c r="B57" s="448">
        <v>4609580.76</v>
      </c>
      <c r="C57" s="185">
        <v>3377951.53</v>
      </c>
      <c r="D57" s="185">
        <v>3537824.45</v>
      </c>
      <c r="E57" s="234">
        <f>((B57+C57+D57)/3)*(1+Parâmetros!E21)</f>
        <v>4273986.45775</v>
      </c>
      <c r="F57" s="234">
        <f>((C57+D57+E57)/3)*(1+Parâmetros!F21)</f>
        <v>4028314.4775900003</v>
      </c>
      <c r="G57" s="234">
        <f>((D57+E57+F57)/3)*(1+Parâmetros!G21)</f>
        <v>4242711.596413501</v>
      </c>
    </row>
    <row r="58" spans="1:7" ht="15">
      <c r="A58" s="196" t="s">
        <v>627</v>
      </c>
      <c r="B58" s="197">
        <f aca="true" t="shared" si="6" ref="B58:G58">SUM(B41:B57)</f>
        <v>4609580.76</v>
      </c>
      <c r="C58" s="197">
        <f t="shared" si="6"/>
        <v>3377951.53</v>
      </c>
      <c r="D58" s="197">
        <f t="shared" si="6"/>
        <v>3537824.45</v>
      </c>
      <c r="E58" s="197">
        <f t="shared" si="6"/>
        <v>4273986.45775</v>
      </c>
      <c r="F58" s="197">
        <f t="shared" si="6"/>
        <v>4028314.4775900003</v>
      </c>
      <c r="G58" s="197">
        <f t="shared" si="6"/>
        <v>4242711.596413501</v>
      </c>
    </row>
    <row r="60" spans="1:7" ht="15">
      <c r="A60" s="589" t="s">
        <v>500</v>
      </c>
      <c r="B60" s="179">
        <f>B39</f>
        <v>2020</v>
      </c>
      <c r="C60" s="179">
        <f>B60+1</f>
        <v>2021</v>
      </c>
      <c r="D60" s="179">
        <f>C60+1</f>
        <v>2022</v>
      </c>
      <c r="E60" s="179">
        <f>D60+1</f>
        <v>2023</v>
      </c>
      <c r="F60" s="179">
        <f>E60+1</f>
        <v>2024</v>
      </c>
      <c r="G60" s="179">
        <f>F60+1</f>
        <v>2025</v>
      </c>
    </row>
    <row r="61" spans="1:7" ht="15.75" thickBot="1">
      <c r="A61" s="589"/>
      <c r="B61" s="179" t="s">
        <v>119</v>
      </c>
      <c r="C61" s="179" t="s">
        <v>119</v>
      </c>
      <c r="D61" s="180" t="s">
        <v>119</v>
      </c>
      <c r="E61" s="180" t="s">
        <v>445</v>
      </c>
      <c r="F61" s="180" t="s">
        <v>445</v>
      </c>
      <c r="G61" s="180" t="s">
        <v>445</v>
      </c>
    </row>
    <row r="62" spans="1:7" ht="30.75" thickBot="1">
      <c r="A62" s="198" t="s">
        <v>501</v>
      </c>
      <c r="B62" s="448">
        <v>5985.67</v>
      </c>
      <c r="C62" s="185">
        <v>5630.88</v>
      </c>
      <c r="D62" s="185"/>
      <c r="E62" s="234">
        <f>((B62+C62+D62)/3)*(1+Parâmetros!E21)</f>
        <v>4307.803958333333</v>
      </c>
      <c r="F62" s="234">
        <f>((C62+D62+E62)/3)*(1+Parâmetros!F21)</f>
        <v>3577.926225</v>
      </c>
      <c r="G62" s="234">
        <f>((D62+E62+F62)/3)*(1+Parâmetros!G21)</f>
        <v>2825.719982361111</v>
      </c>
    </row>
    <row r="63" spans="1:7" ht="30.75" thickBot="1">
      <c r="A63" s="199" t="s">
        <v>502</v>
      </c>
      <c r="B63" s="185">
        <v>0</v>
      </c>
      <c r="C63" s="185">
        <v>0</v>
      </c>
      <c r="D63" s="185">
        <v>0</v>
      </c>
      <c r="E63" s="234">
        <f>((B63+C63+D63)/3)*(1+Parâmetros!E21)</f>
        <v>0</v>
      </c>
      <c r="F63" s="234">
        <f>((C63+D63+E63)/3)*(1+Parâmetros!F21)</f>
        <v>0</v>
      </c>
      <c r="G63" s="234">
        <f>((D63+E63+F63)/3)*(1+Parâmetros!G21)</f>
        <v>0</v>
      </c>
    </row>
    <row r="64" spans="1:7" ht="30.75" thickBot="1">
      <c r="A64" s="199" t="s">
        <v>503</v>
      </c>
      <c r="B64" s="185">
        <v>0</v>
      </c>
      <c r="C64" s="185">
        <v>0</v>
      </c>
      <c r="D64" s="185">
        <v>0</v>
      </c>
      <c r="E64" s="234">
        <f>((B64+C64+D64)/3)*(1+Parâmetros!E21)</f>
        <v>0</v>
      </c>
      <c r="F64" s="234">
        <f>((C64+D64+E64)/3)*(1+Parâmetros!F21)</f>
        <v>0</v>
      </c>
      <c r="G64" s="234">
        <f>((D64+E64+F64)/3)*(1+Parâmetros!G21)</f>
        <v>0</v>
      </c>
    </row>
    <row r="65" spans="1:7" ht="30.75" thickBot="1">
      <c r="A65" s="199" t="s">
        <v>504</v>
      </c>
      <c r="B65" s="185">
        <v>0</v>
      </c>
      <c r="C65" s="185">
        <v>0</v>
      </c>
      <c r="D65" s="185">
        <v>0</v>
      </c>
      <c r="E65" s="234">
        <f>((B65+C65+D65)/3)*(1+Parâmetros!E21)</f>
        <v>0</v>
      </c>
      <c r="F65" s="234">
        <f>((C65+D65+E65)/3)*(1+Parâmetros!F21)</f>
        <v>0</v>
      </c>
      <c r="G65" s="234">
        <f>((D65+E65+F65)/3)*(1+Parâmetros!G21)</f>
        <v>0</v>
      </c>
    </row>
    <row r="66" spans="1:7" ht="30.75" thickBot="1">
      <c r="A66" s="199" t="s">
        <v>505</v>
      </c>
      <c r="B66" s="185">
        <v>0</v>
      </c>
      <c r="C66" s="185">
        <v>0</v>
      </c>
      <c r="D66" s="185">
        <v>0</v>
      </c>
      <c r="E66" s="234">
        <f>((B66+C66+D66)/3)*(1+Parâmetros!E21)</f>
        <v>0</v>
      </c>
      <c r="F66" s="234">
        <f>((C66+D66+E66)/3)*(1+Parâmetros!F21)</f>
        <v>0</v>
      </c>
      <c r="G66" s="234">
        <f>((D66+E66+F66)/3)*(1+Parâmetros!G21)</f>
        <v>0</v>
      </c>
    </row>
    <row r="67" spans="1:7" ht="15.75" thickBot="1">
      <c r="A67" s="199" t="s">
        <v>506</v>
      </c>
      <c r="B67" s="185">
        <v>0</v>
      </c>
      <c r="C67" s="185">
        <v>0</v>
      </c>
      <c r="D67" s="185">
        <v>0</v>
      </c>
      <c r="E67" s="234">
        <f>((B67+C67+D67)/3)*(1+Parâmetros!E21)</f>
        <v>0</v>
      </c>
      <c r="F67" s="234">
        <f>((C67+D67+E67)/3)*(1+Parâmetros!F21)</f>
        <v>0</v>
      </c>
      <c r="G67" s="234">
        <f>((D67+E67+F67)/3)*(1+Parâmetros!G21)</f>
        <v>0</v>
      </c>
    </row>
    <row r="68" spans="1:7" ht="30.75" thickBot="1">
      <c r="A68" s="199" t="s">
        <v>507</v>
      </c>
      <c r="B68" s="185">
        <v>0</v>
      </c>
      <c r="C68" s="185">
        <v>0</v>
      </c>
      <c r="D68" s="185">
        <v>0</v>
      </c>
      <c r="E68" s="234">
        <f>((B68+C68+D68)/3)*(1+Parâmetros!E21)</f>
        <v>0</v>
      </c>
      <c r="F68" s="234">
        <f>((C68+D68+E68)/3)*(1+Parâmetros!F21)</f>
        <v>0</v>
      </c>
      <c r="G68" s="234">
        <f>((D68+E68+F68)/3)*(1+Parâmetros!G21)</f>
        <v>0</v>
      </c>
    </row>
    <row r="69" spans="1:7" ht="30.75" thickBot="1">
      <c r="A69" s="199" t="s">
        <v>508</v>
      </c>
      <c r="B69" s="185">
        <v>0</v>
      </c>
      <c r="C69" s="185">
        <v>0</v>
      </c>
      <c r="D69" s="185">
        <v>0</v>
      </c>
      <c r="E69" s="234">
        <f>((B69+C69+D69)/3)*(1+Parâmetros!E21)</f>
        <v>0</v>
      </c>
      <c r="F69" s="234">
        <f>((C69+D69+E69)/3)*(1+Parâmetros!F21)</f>
        <v>0</v>
      </c>
      <c r="G69" s="234">
        <f>((D69+E69+F69)/3)*(1+Parâmetros!G21)</f>
        <v>0</v>
      </c>
    </row>
    <row r="70" spans="1:7" ht="30.75" thickBot="1">
      <c r="A70" s="199" t="s">
        <v>509</v>
      </c>
      <c r="B70" s="185">
        <v>0</v>
      </c>
      <c r="C70" s="185">
        <v>0</v>
      </c>
      <c r="D70" s="185">
        <v>0</v>
      </c>
      <c r="E70" s="234">
        <f>((B70+C70+D70)/3)*(1+Parâmetros!E21)</f>
        <v>0</v>
      </c>
      <c r="F70" s="234">
        <f>((C70+D70+E70)/3)*(1+Parâmetros!F21)</f>
        <v>0</v>
      </c>
      <c r="G70" s="234">
        <f>((D70+E70+F70)/3)*(1+Parâmetros!G21)</f>
        <v>0</v>
      </c>
    </row>
    <row r="71" spans="1:7" ht="30.75" thickBot="1">
      <c r="A71" s="199" t="s">
        <v>510</v>
      </c>
      <c r="B71" s="185">
        <v>0</v>
      </c>
      <c r="C71" s="185">
        <v>0</v>
      </c>
      <c r="D71" s="185">
        <v>0</v>
      </c>
      <c r="E71" s="234">
        <f>((B71+C71+D71)/3)*(1+Parâmetros!E21)</f>
        <v>0</v>
      </c>
      <c r="F71" s="234">
        <f>((C71+D71+E71)/3)*(1+Parâmetros!F21)</f>
        <v>0</v>
      </c>
      <c r="G71" s="234">
        <f>((D71+E71+F71)/3)*(1+Parâmetros!G21)</f>
        <v>0</v>
      </c>
    </row>
    <row r="72" spans="1:7" ht="30.75" thickBot="1">
      <c r="A72" s="199" t="s">
        <v>511</v>
      </c>
      <c r="B72" s="185">
        <v>0</v>
      </c>
      <c r="C72" s="185">
        <v>0</v>
      </c>
      <c r="D72" s="185">
        <v>0</v>
      </c>
      <c r="E72" s="234">
        <f>((B72+C72+D72)/3)*(1+Parâmetros!E21)</f>
        <v>0</v>
      </c>
      <c r="F72" s="234">
        <f>((C72+D72+E72)/3)*(1+Parâmetros!F21)</f>
        <v>0</v>
      </c>
      <c r="G72" s="234">
        <f>((D72+E72+F72)/3)*(1+Parâmetros!G21)</f>
        <v>0</v>
      </c>
    </row>
    <row r="73" spans="1:7" ht="30.75" thickBot="1">
      <c r="A73" s="199" t="s">
        <v>512</v>
      </c>
      <c r="B73" s="185">
        <v>0</v>
      </c>
      <c r="C73" s="185">
        <v>0</v>
      </c>
      <c r="D73" s="185">
        <v>0</v>
      </c>
      <c r="E73" s="234">
        <f>((B73+C73+D73)/3)*(1+Parâmetros!E21)</f>
        <v>0</v>
      </c>
      <c r="F73" s="234">
        <f>((C73+D73+E73)/3)*(1+Parâmetros!F21)</f>
        <v>0</v>
      </c>
      <c r="G73" s="234">
        <f>((D73+E73+F73)/3)*(1+Parâmetros!G21)</f>
        <v>0</v>
      </c>
    </row>
    <row r="74" spans="1:7" ht="30.75" thickBot="1">
      <c r="A74" s="199" t="s">
        <v>513</v>
      </c>
      <c r="B74" s="185">
        <v>0</v>
      </c>
      <c r="C74" s="185">
        <v>0</v>
      </c>
      <c r="D74" s="185">
        <v>0</v>
      </c>
      <c r="E74" s="234">
        <f>((B74+C74+D74)/3)*(1+Parâmetros!E21)</f>
        <v>0</v>
      </c>
      <c r="F74" s="234">
        <f>((C74+D74+E74)/3)*(1+Parâmetros!F21)</f>
        <v>0</v>
      </c>
      <c r="G74" s="234">
        <f>((D74+E74+F74)/3)*(1+Parâmetros!G21)</f>
        <v>0</v>
      </c>
    </row>
    <row r="75" spans="1:7" ht="30.75" thickBot="1">
      <c r="A75" s="199" t="s">
        <v>514</v>
      </c>
      <c r="B75" s="185">
        <v>0</v>
      </c>
      <c r="C75" s="185">
        <v>0</v>
      </c>
      <c r="D75" s="185">
        <v>0</v>
      </c>
      <c r="E75" s="234">
        <f>((B75+C75+D75)/3)*(1+Parâmetros!E21)</f>
        <v>0</v>
      </c>
      <c r="F75" s="234">
        <f>((C75+D75+E75)/3)*(1+Parâmetros!F21)</f>
        <v>0</v>
      </c>
      <c r="G75" s="234">
        <f>((D75+E75+F75)/3)*(1+Parâmetros!G21)</f>
        <v>0</v>
      </c>
    </row>
    <row r="76" spans="1:7" ht="30.75" thickBot="1">
      <c r="A76" s="199" t="s">
        <v>515</v>
      </c>
      <c r="B76" s="185">
        <v>0</v>
      </c>
      <c r="C76" s="185">
        <v>0</v>
      </c>
      <c r="D76" s="185">
        <v>0</v>
      </c>
      <c r="E76" s="234">
        <f>((B76+C76+D76)/3)*(1+Parâmetros!E21)</f>
        <v>0</v>
      </c>
      <c r="F76" s="234">
        <f>((C76+D76+E76)/3)*(1+Parâmetros!F21)</f>
        <v>0</v>
      </c>
      <c r="G76" s="234">
        <f>((D76+E76+F76)/3)*(1+Parâmetros!G21)</f>
        <v>0</v>
      </c>
    </row>
    <row r="77" spans="1:7" ht="30.75" thickBot="1">
      <c r="A77" s="199" t="s">
        <v>516</v>
      </c>
      <c r="B77" s="185">
        <v>0</v>
      </c>
      <c r="C77" s="185">
        <v>0</v>
      </c>
      <c r="D77" s="185">
        <v>0</v>
      </c>
      <c r="E77" s="234">
        <f>((B77+C77+D77)/3)*(1+Parâmetros!E21)</f>
        <v>0</v>
      </c>
      <c r="F77" s="234">
        <f>((C77+D77+E77)/3)*(1+Parâmetros!F21)</f>
        <v>0</v>
      </c>
      <c r="G77" s="234">
        <f>((D77+E77+F77)/3)*(1+Parâmetros!G21)</f>
        <v>0</v>
      </c>
    </row>
    <row r="78" spans="1:7" ht="30.75" thickBot="1">
      <c r="A78" s="199" t="s">
        <v>517</v>
      </c>
      <c r="B78" s="185">
        <v>0</v>
      </c>
      <c r="C78" s="185">
        <v>0</v>
      </c>
      <c r="D78" s="185">
        <v>0</v>
      </c>
      <c r="E78" s="234">
        <f>((B78+C78+D78)/3)*(1+Parâmetros!E21)</f>
        <v>0</v>
      </c>
      <c r="F78" s="234">
        <f>((C78+D78+E78)/3)*(1+Parâmetros!F21)</f>
        <v>0</v>
      </c>
      <c r="G78" s="234">
        <f>((D78+E78+F78)/3)*(1+Parâmetros!G21)</f>
        <v>0</v>
      </c>
    </row>
    <row r="79" spans="1:7" ht="15">
      <c r="A79" s="196" t="s">
        <v>628</v>
      </c>
      <c r="B79" s="319">
        <f aca="true" t="shared" si="7" ref="B79:G79">SUM(B62:B78)</f>
        <v>5985.67</v>
      </c>
      <c r="C79" s="319">
        <f t="shared" si="7"/>
        <v>5630.88</v>
      </c>
      <c r="D79" s="319">
        <f t="shared" si="7"/>
        <v>0</v>
      </c>
      <c r="E79" s="319">
        <f t="shared" si="7"/>
        <v>4307.803958333333</v>
      </c>
      <c r="F79" s="319">
        <f t="shared" si="7"/>
        <v>3577.926225</v>
      </c>
      <c r="G79" s="319">
        <f t="shared" si="7"/>
        <v>2825.719982361111</v>
      </c>
    </row>
    <row r="81" spans="1:7" ht="15">
      <c r="A81" s="200" t="s">
        <v>629</v>
      </c>
      <c r="B81" s="201">
        <f aca="true" t="shared" si="8" ref="B81:G81">B37+B58-B79</f>
        <v>21756206.29999999</v>
      </c>
      <c r="C81" s="201">
        <f t="shared" si="8"/>
        <v>23894974.759999987</v>
      </c>
      <c r="D81" s="201">
        <f t="shared" si="8"/>
        <v>19507990.325428586</v>
      </c>
      <c r="E81" s="201">
        <f t="shared" si="8"/>
        <v>-5908930.51200962</v>
      </c>
      <c r="F81" s="201">
        <f t="shared" si="8"/>
        <v>-7110126.823618251</v>
      </c>
      <c r="G81" s="201">
        <f t="shared" si="8"/>
        <v>-7814783.648045419</v>
      </c>
    </row>
  </sheetData>
  <sheetProtection/>
  <mergeCells count="7">
    <mergeCell ref="A60:A61"/>
    <mergeCell ref="A1:H1"/>
    <mergeCell ref="A2:H2"/>
    <mergeCell ref="A3:H3"/>
    <mergeCell ref="A5:A6"/>
    <mergeCell ref="A21:A22"/>
    <mergeCell ref="A39:A40"/>
  </mergeCell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6"/>
  <sheetViews>
    <sheetView zoomScalePageLayoutView="0" workbookViewId="0" topLeftCell="A1">
      <selection activeCell="B31" sqref="B31"/>
    </sheetView>
  </sheetViews>
  <sheetFormatPr defaultColWidth="9.140625" defaultRowHeight="12.75"/>
  <cols>
    <col min="1" max="1" width="48.140625" style="299" customWidth="1"/>
    <col min="2" max="3" width="15.00390625" style="299" bestFit="1" customWidth="1"/>
    <col min="4" max="4" width="9.421875" style="299" customWidth="1"/>
    <col min="5" max="5" width="10.28125" style="299" customWidth="1"/>
    <col min="6" max="7" width="15.00390625" style="299" bestFit="1" customWidth="1"/>
    <col min="8" max="9" width="10.7109375" style="299" customWidth="1"/>
    <col min="10" max="11" width="15.00390625" style="299" bestFit="1" customWidth="1"/>
    <col min="12" max="12" width="10.57421875" style="299" customWidth="1"/>
    <col min="13" max="13" width="10.00390625" style="299" customWidth="1"/>
    <col min="14" max="16384" width="9.140625" style="299" customWidth="1"/>
  </cols>
  <sheetData>
    <row r="1" spans="1:13" ht="15">
      <c r="A1" s="610" t="str">
        <f>Parâmetros!$A$7</f>
        <v>Município de : IVOTI</v>
      </c>
      <c r="B1" s="611"/>
      <c r="C1" s="611"/>
      <c r="D1" s="611"/>
      <c r="E1" s="611"/>
      <c r="F1" s="611"/>
      <c r="G1" s="611"/>
      <c r="H1" s="611"/>
      <c r="I1" s="611"/>
      <c r="J1" s="611"/>
      <c r="K1" s="611"/>
      <c r="L1" s="612"/>
      <c r="M1" s="301"/>
    </row>
    <row r="2" spans="1:13" ht="15">
      <c r="A2" s="613" t="str">
        <f>Parâmetros!$A$8</f>
        <v>LEI DE DIRETRIZES ORÇAMENTÁRIAS  PARA 2023</v>
      </c>
      <c r="B2" s="611"/>
      <c r="C2" s="611"/>
      <c r="D2" s="611"/>
      <c r="E2" s="611"/>
      <c r="F2" s="611"/>
      <c r="G2" s="611"/>
      <c r="H2" s="611"/>
      <c r="I2" s="611"/>
      <c r="J2" s="611"/>
      <c r="K2" s="611"/>
      <c r="L2" s="612"/>
      <c r="M2" s="301"/>
    </row>
    <row r="3" spans="1:13" ht="15">
      <c r="A3" s="613" t="s">
        <v>144</v>
      </c>
      <c r="B3" s="611"/>
      <c r="C3" s="611"/>
      <c r="D3" s="611"/>
      <c r="E3" s="611"/>
      <c r="F3" s="611"/>
      <c r="G3" s="611"/>
      <c r="H3" s="611"/>
      <c r="I3" s="611"/>
      <c r="J3" s="611"/>
      <c r="K3" s="611"/>
      <c r="L3" s="612"/>
      <c r="M3" s="301"/>
    </row>
    <row r="4" spans="1:13" ht="15">
      <c r="A4" s="614" t="s">
        <v>630</v>
      </c>
      <c r="B4" s="615"/>
      <c r="C4" s="615"/>
      <c r="D4" s="615"/>
      <c r="E4" s="615"/>
      <c r="F4" s="615"/>
      <c r="G4" s="615"/>
      <c r="H4" s="615"/>
      <c r="I4" s="615"/>
      <c r="J4" s="615"/>
      <c r="K4" s="615"/>
      <c r="L4" s="616"/>
      <c r="M4" s="301"/>
    </row>
    <row r="5" spans="1:13" ht="15">
      <c r="A5" s="613" t="s">
        <v>670</v>
      </c>
      <c r="B5" s="611"/>
      <c r="C5" s="611"/>
      <c r="D5" s="611"/>
      <c r="E5" s="611"/>
      <c r="F5" s="611"/>
      <c r="G5" s="611"/>
      <c r="H5" s="611"/>
      <c r="I5" s="611"/>
      <c r="J5" s="611"/>
      <c r="K5" s="611"/>
      <c r="L5" s="612"/>
      <c r="M5" s="301"/>
    </row>
    <row r="6" spans="1:13" ht="15">
      <c r="A6" s="598" t="s">
        <v>438</v>
      </c>
      <c r="B6" s="599"/>
      <c r="C6" s="599"/>
      <c r="D6" s="599"/>
      <c r="E6" s="599"/>
      <c r="F6" s="599"/>
      <c r="G6" s="599"/>
      <c r="H6" s="600"/>
      <c r="I6" s="302"/>
      <c r="J6" s="601">
        <v>1</v>
      </c>
      <c r="K6" s="602"/>
      <c r="L6" s="602"/>
      <c r="M6" s="602"/>
    </row>
    <row r="7" spans="1:13" s="300" customFormat="1" ht="15.75" customHeight="1">
      <c r="A7" s="603" t="s">
        <v>56</v>
      </c>
      <c r="B7" s="606">
        <f>Parâmetros!$E$10</f>
        <v>2023</v>
      </c>
      <c r="C7" s="607"/>
      <c r="D7" s="607"/>
      <c r="E7" s="608"/>
      <c r="F7" s="606">
        <f>B7+1</f>
        <v>2024</v>
      </c>
      <c r="G7" s="607"/>
      <c r="H7" s="607"/>
      <c r="I7" s="608"/>
      <c r="J7" s="606">
        <f>F7+1</f>
        <v>2025</v>
      </c>
      <c r="K7" s="607"/>
      <c r="L7" s="607"/>
      <c r="M7" s="607"/>
    </row>
    <row r="8" spans="1:13" ht="15">
      <c r="A8" s="604"/>
      <c r="B8" s="303" t="s">
        <v>57</v>
      </c>
      <c r="C8" s="304" t="s">
        <v>57</v>
      </c>
      <c r="D8" s="304" t="s">
        <v>58</v>
      </c>
      <c r="E8" s="304" t="s">
        <v>363</v>
      </c>
      <c r="F8" s="304" t="s">
        <v>57</v>
      </c>
      <c r="G8" s="304" t="s">
        <v>57</v>
      </c>
      <c r="H8" s="304" t="s">
        <v>58</v>
      </c>
      <c r="I8" s="304" t="s">
        <v>363</v>
      </c>
      <c r="J8" s="304" t="s">
        <v>57</v>
      </c>
      <c r="K8" s="304" t="s">
        <v>57</v>
      </c>
      <c r="L8" s="305" t="s">
        <v>58</v>
      </c>
      <c r="M8" s="321" t="s">
        <v>363</v>
      </c>
    </row>
    <row r="9" spans="1:13" ht="18.75" customHeight="1">
      <c r="A9" s="604"/>
      <c r="B9" s="306" t="s">
        <v>59</v>
      </c>
      <c r="C9" s="307" t="s">
        <v>60</v>
      </c>
      <c r="D9" s="307" t="s">
        <v>61</v>
      </c>
      <c r="E9" s="307" t="s">
        <v>578</v>
      </c>
      <c r="F9" s="307" t="s">
        <v>59</v>
      </c>
      <c r="G9" s="307" t="s">
        <v>60</v>
      </c>
      <c r="H9" s="307" t="s">
        <v>62</v>
      </c>
      <c r="I9" s="307" t="s">
        <v>579</v>
      </c>
      <c r="J9" s="307" t="s">
        <v>59</v>
      </c>
      <c r="K9" s="307" t="s">
        <v>60</v>
      </c>
      <c r="L9" s="306" t="s">
        <v>63</v>
      </c>
      <c r="M9" s="322" t="s">
        <v>580</v>
      </c>
    </row>
    <row r="10" spans="1:13" ht="15">
      <c r="A10" s="605"/>
      <c r="B10" s="308" t="s">
        <v>64</v>
      </c>
      <c r="C10" s="309"/>
      <c r="D10" s="310" t="s">
        <v>65</v>
      </c>
      <c r="E10" s="310" t="s">
        <v>65</v>
      </c>
      <c r="F10" s="310" t="s">
        <v>66</v>
      </c>
      <c r="G10" s="309"/>
      <c r="H10" s="310" t="s">
        <v>65</v>
      </c>
      <c r="I10" s="310" t="s">
        <v>65</v>
      </c>
      <c r="J10" s="310" t="s">
        <v>67</v>
      </c>
      <c r="K10" s="309"/>
      <c r="L10" s="311" t="s">
        <v>65</v>
      </c>
      <c r="M10" s="321" t="s">
        <v>65</v>
      </c>
    </row>
    <row r="11" spans="1:13" ht="15" customHeight="1">
      <c r="A11" s="312" t="s">
        <v>581</v>
      </c>
      <c r="B11" s="401">
        <f>'RPrim-Nom'!E7+'RPrim-Nom'!E13</f>
        <v>137178019.68891415</v>
      </c>
      <c r="C11" s="401">
        <f>B11/(1+Parâmetros!E11)</f>
        <v>130633291.77117813</v>
      </c>
      <c r="D11" s="594" t="s">
        <v>638</v>
      </c>
      <c r="E11" s="320">
        <f>B11/RCL!B13</f>
        <v>1.10454214862392</v>
      </c>
      <c r="F11" s="401">
        <f>'RPrim-Nom'!F7+'RPrim-Nom'!F13</f>
        <v>144728306.96277565</v>
      </c>
      <c r="G11" s="172">
        <f>F11/((1+Parâmetros!E11)*(1+Parâmetros!F11))</f>
        <v>133162663.5630061</v>
      </c>
      <c r="H11" s="594" t="s">
        <v>638</v>
      </c>
      <c r="I11" s="320">
        <f>F11/RCL!C13</f>
        <v>1.1040403753179453</v>
      </c>
      <c r="J11" s="401">
        <f>'RPrim-Nom'!G7+'RPrim-Nom'!G13</f>
        <v>152643678.54798067</v>
      </c>
      <c r="K11" s="172">
        <f>J11/((1+Parâmetros!E11)*(1+Parâmetros!F11)*(1+Parâmetros!G11))</f>
        <v>136354850.1827413</v>
      </c>
      <c r="L11" s="594" t="s">
        <v>638</v>
      </c>
      <c r="M11" s="320">
        <f>J11/RCL!D13</f>
        <v>1.1032208987198353</v>
      </c>
    </row>
    <row r="12" spans="1:13" ht="15">
      <c r="A12" s="312" t="s">
        <v>582</v>
      </c>
      <c r="B12" s="401">
        <f>B13+B18+0.01</f>
        <v>128629065.2128943</v>
      </c>
      <c r="C12" s="401">
        <f>B12/(1+Parâmetros!E11)</f>
        <v>122492205.70697486</v>
      </c>
      <c r="D12" s="595"/>
      <c r="E12" s="320">
        <f>B12/RCL!B13</f>
        <v>1.035706918556853</v>
      </c>
      <c r="F12" s="401">
        <f>F13+F18</f>
        <v>135729928.5553617</v>
      </c>
      <c r="G12" s="172">
        <f>F12/((1+Parâmetros!E11)*(1+Parâmetros!F11))</f>
        <v>124883370.7168093</v>
      </c>
      <c r="H12" s="595"/>
      <c r="I12" s="320">
        <f>F12/RCL!C13</f>
        <v>1.035397458927516</v>
      </c>
      <c r="J12" s="401">
        <f>J13+J18</f>
        <v>143190234.65196574</v>
      </c>
      <c r="K12" s="172">
        <f>J12/((1+Parâmetros!E11)*(1+Parâmetros!F11)*(1+Parâmetros!G11))</f>
        <v>127910196.99818845</v>
      </c>
      <c r="L12" s="595"/>
      <c r="M12" s="320">
        <f>J12/RCL!D13</f>
        <v>1.0348968320426757</v>
      </c>
    </row>
    <row r="13" spans="1:13" ht="15">
      <c r="A13" s="313" t="s">
        <v>583</v>
      </c>
      <c r="B13" s="401">
        <f>'RPrim-Nom'!E11</f>
        <v>126223743.75779925</v>
      </c>
      <c r="C13" s="401">
        <f>B13/(1+Parâmetros!E11)</f>
        <v>120201641.5177595</v>
      </c>
      <c r="D13" s="595"/>
      <c r="E13" s="320">
        <f>B13/RCL!B13</f>
        <v>1.0163395378775955</v>
      </c>
      <c r="F13" s="401">
        <f>'RPrim-Nom'!F11</f>
        <v>133214151.23715758</v>
      </c>
      <c r="G13" s="172">
        <f>F13/((1+Parâmetros!E11)*(1+Parâmetros!F11))</f>
        <v>122568636.1935234</v>
      </c>
      <c r="H13" s="595"/>
      <c r="I13" s="320">
        <f>F13/RCL!C13</f>
        <v>1.016206190868802</v>
      </c>
      <c r="J13" s="401">
        <f>'RPrim-Nom'!G11</f>
        <v>140566610.25857177</v>
      </c>
      <c r="K13" s="172">
        <f>J13/((1+Parâmetros!E11)*(1+Parâmetros!F11)*(1+Parâmetros!G11))</f>
        <v>125566543.36968546</v>
      </c>
      <c r="L13" s="595"/>
      <c r="M13" s="320">
        <f>J13/RCL!D13</f>
        <v>1.0159347807561985</v>
      </c>
    </row>
    <row r="14" spans="1:13" ht="15">
      <c r="A14" s="314" t="s">
        <v>584</v>
      </c>
      <c r="B14" s="401">
        <f>Projeções!H9+Projeções!H105</f>
        <v>24440292.51218083</v>
      </c>
      <c r="C14" s="401">
        <f>B14/(1+Parâmetros!E11)</f>
        <v>23274252.4637471</v>
      </c>
      <c r="D14" s="595"/>
      <c r="E14" s="320">
        <f>B14/RCL!B13</f>
        <v>0.1967905154602761</v>
      </c>
      <c r="F14" s="401">
        <f>Projeções!I9+Projeções!I105</f>
        <v>25995866.20626148</v>
      </c>
      <c r="G14" s="172">
        <f>F14/((1+Parâmetros!E11)*(1+Parâmetros!F11))</f>
        <v>23918463.901769172</v>
      </c>
      <c r="H14" s="595"/>
      <c r="I14" s="320">
        <f>F14/RCL!C13</f>
        <v>0.1983059602186725</v>
      </c>
      <c r="J14" s="401">
        <f>Projeções!J9+Projeções!J105</f>
        <v>27120961.38159524</v>
      </c>
      <c r="K14" s="172">
        <f>J14/((1+Parâmetros!E11)*(1+Parâmetros!F11)*(1+Parâmetros!G11))</f>
        <v>24226844.250460796</v>
      </c>
      <c r="L14" s="595"/>
      <c r="M14" s="320">
        <f>J14/RCL!D13</f>
        <v>0.19601474279293216</v>
      </c>
    </row>
    <row r="15" spans="1:13" ht="15">
      <c r="A15" s="315" t="s">
        <v>585</v>
      </c>
      <c r="B15" s="401">
        <f>Projeções!H15</f>
        <v>4496004.795164366</v>
      </c>
      <c r="C15" s="401">
        <f>B15/(1+Parâmetros!E11)</f>
        <v>4281501.566673999</v>
      </c>
      <c r="D15" s="595"/>
      <c r="E15" s="320">
        <f>B15/RCL!B13</f>
        <v>0.03620133027095753</v>
      </c>
      <c r="F15" s="401">
        <f>Projeções!I15</f>
        <v>4724096.110432644</v>
      </c>
      <c r="G15" s="172">
        <f>F15/((1+Parâmetros!E11)*(1+Parâmetros!F11))</f>
        <v>4346580.390487444</v>
      </c>
      <c r="H15" s="595"/>
      <c r="I15" s="320">
        <f>F15/RCL!C13</f>
        <v>0.03603713020799422</v>
      </c>
      <c r="J15" s="401">
        <f>Projeções!J15</f>
        <v>4939779.442450558</v>
      </c>
      <c r="K15" s="172">
        <f>J15/((1+Parâmetros!E11)*(1+Parâmetros!F11)*(1+Parâmetros!G11))</f>
        <v>4412648.412422853</v>
      </c>
      <c r="L15" s="595"/>
      <c r="M15" s="320">
        <f>J15/RCL!D13</f>
        <v>0.03570189062408549</v>
      </c>
    </row>
    <row r="16" spans="1:13" ht="15">
      <c r="A16" s="314" t="s">
        <v>586</v>
      </c>
      <c r="B16" s="401">
        <f>Projeções!H39+Projeções!H106</f>
        <v>84780919.66965953</v>
      </c>
      <c r="C16" s="401">
        <f>B16/(1+Parâmetros!E11)</f>
        <v>80736043.87168795</v>
      </c>
      <c r="D16" s="595"/>
      <c r="E16" s="320">
        <f>B16/RCL!B13</f>
        <v>0.6826465303012784</v>
      </c>
      <c r="F16" s="401">
        <f>Projeções!I39+Projeções!I106</f>
        <v>89336921.33795053</v>
      </c>
      <c r="G16" s="172">
        <f>F16/((1+Parâmetros!E11)*(1+Parâmetros!F11))</f>
        <v>82197758.33444943</v>
      </c>
      <c r="H16" s="595"/>
      <c r="I16" s="320">
        <f>F16/RCL!C13</f>
        <v>0.6814946587405935</v>
      </c>
      <c r="J16" s="401">
        <f>Projeções!J39+Projeções!J106</f>
        <v>94691374.90474609</v>
      </c>
      <c r="K16" s="172">
        <f>J16/((1+Parâmetros!E11)*(1+Parâmetros!F11)*(1+Parâmetros!G11))</f>
        <v>84586720.92782351</v>
      </c>
      <c r="L16" s="595"/>
      <c r="M16" s="320">
        <f>J16/RCL!D13</f>
        <v>0.6843749097057699</v>
      </c>
    </row>
    <row r="17" spans="1:13" ht="15">
      <c r="A17" s="314" t="s">
        <v>587</v>
      </c>
      <c r="B17" s="401">
        <f>B13-B14-B15-B16</f>
        <v>12506526.780794531</v>
      </c>
      <c r="C17" s="401">
        <f>B17/(1+Parâmetros!E11)</f>
        <v>11909843.615650443</v>
      </c>
      <c r="D17" s="595"/>
      <c r="E17" s="320">
        <f>B17/RCL!B13</f>
        <v>0.10070116184508346</v>
      </c>
      <c r="F17" s="401">
        <f>F13-F14-F15-F16</f>
        <v>13157267.58251293</v>
      </c>
      <c r="G17" s="172">
        <f>F17/((1+Parâmetros!E11)*(1+Parâmetros!F11))</f>
        <v>12105833.56681736</v>
      </c>
      <c r="H17" s="595"/>
      <c r="I17" s="320">
        <f>F17/RCL!C13</f>
        <v>0.10036844170154191</v>
      </c>
      <c r="J17" s="401">
        <f>J13-J14-J15-J16</f>
        <v>13814494.529779896</v>
      </c>
      <c r="K17" s="172">
        <f>J17/((1+Parâmetros!E11)*(1+Parâmetros!F11)*(1+Parâmetros!G11))</f>
        <v>12340329.778978301</v>
      </c>
      <c r="L17" s="595"/>
      <c r="M17" s="320">
        <f>J17/RCL!D13</f>
        <v>0.09984323763341094</v>
      </c>
    </row>
    <row r="18" spans="1:13" ht="15">
      <c r="A18" s="313" t="s">
        <v>588</v>
      </c>
      <c r="B18" s="401">
        <f>'RPrim-Nom'!E18</f>
        <v>2405321.4450950446</v>
      </c>
      <c r="C18" s="401">
        <f>B18/(1+Parâmetros!E11)</f>
        <v>2290564.179692453</v>
      </c>
      <c r="D18" s="595"/>
      <c r="E18" s="320">
        <f>B18/RCL!B13</f>
        <v>0.01936738059873871</v>
      </c>
      <c r="F18" s="401">
        <f>'RPrim-Nom'!F18</f>
        <v>2515777.318204104</v>
      </c>
      <c r="G18" s="172">
        <f>F18/((1+Parâmetros!E11)*(1+Parâmetros!F11))</f>
        <v>2314734.523285893</v>
      </c>
      <c r="H18" s="595"/>
      <c r="I18" s="320">
        <f>F18/RCL!C13</f>
        <v>0.019191268058713733</v>
      </c>
      <c r="J18" s="401">
        <f>'RPrim-Nom'!G18</f>
        <v>2623624.3933939543</v>
      </c>
      <c r="K18" s="172">
        <f>J18/((1+Parâmetros!E11)*(1+Parâmetros!F11)*(1+Parâmetros!G11))</f>
        <v>2343653.628502985</v>
      </c>
      <c r="L18" s="595"/>
      <c r="M18" s="320">
        <f>J18/RCL!D13</f>
        <v>0.018962051286477277</v>
      </c>
    </row>
    <row r="19" spans="1:13" ht="15">
      <c r="A19" s="312" t="s">
        <v>68</v>
      </c>
      <c r="B19" s="401">
        <f>'RPrim-Nom'!E23+'RPrim-Nom'!E27+'RPrim-Nom'!E34</f>
        <v>139451292.22165468</v>
      </c>
      <c r="C19" s="401">
        <f>B19/(1+Parâmetros!E11)</f>
        <v>132798107.05804655</v>
      </c>
      <c r="D19" s="595"/>
      <c r="E19" s="320">
        <f>B19/RCL!B13</f>
        <v>1.1228462860754966</v>
      </c>
      <c r="F19" s="401">
        <f>'RPrim-Nom'!F23+'RPrim-Nom'!F27+'RPrim-Nom'!F34</f>
        <v>147533484.52349544</v>
      </c>
      <c r="G19" s="172">
        <f>F19/((1+Parâmetros!E11)*(1+Parâmetros!F11))</f>
        <v>135743671.54680502</v>
      </c>
      <c r="H19" s="595"/>
      <c r="I19" s="320">
        <f>F19/RCL!C13</f>
        <v>1.1254392941055955</v>
      </c>
      <c r="J19" s="401">
        <f>'RPrim-Nom'!G23+'RPrim-Nom'!G27+'RPrim-Nom'!G34</f>
        <v>155936409.51195213</v>
      </c>
      <c r="K19" s="172">
        <f>J19/((1+Parâmetros!E11)*(1+Parâmetros!F11)*(1+Parâmetros!G11))</f>
        <v>139296209.04905868</v>
      </c>
      <c r="L19" s="595"/>
      <c r="M19" s="320">
        <f>J19/RCL!D13</f>
        <v>1.1270188682647935</v>
      </c>
    </row>
    <row r="20" spans="1:13" ht="15">
      <c r="A20" s="312" t="s">
        <v>622</v>
      </c>
      <c r="B20" s="401">
        <f>B21+B24+B25+B26</f>
        <v>123557071.4721224</v>
      </c>
      <c r="C20" s="401">
        <f>B20/(1+Parâmetros!E11)</f>
        <v>117662195.47864242</v>
      </c>
      <c r="D20" s="595"/>
      <c r="E20" s="320">
        <f>B20/RCL!B13</f>
        <v>0.9948677893950256</v>
      </c>
      <c r="F20" s="401">
        <f>F21+F24+F25+F26</f>
        <v>130847019.41578163</v>
      </c>
      <c r="G20" s="172">
        <f>F20/((1+Parâmetros!E11)*(1+Parâmetros!F11))</f>
        <v>120390668.4900786</v>
      </c>
      <c r="H20" s="595"/>
      <c r="I20" s="320">
        <f>F20/RCL!C13</f>
        <v>0.9981488449401227</v>
      </c>
      <c r="J20" s="401">
        <f>J21+J24+J25+J26</f>
        <v>138483338.28669345</v>
      </c>
      <c r="K20" s="172">
        <f>J20/((1+Parâmetros!E11)*(1+Parâmetros!F11)*(1+Parâmetros!G11))</f>
        <v>123705580.37195423</v>
      </c>
      <c r="L20" s="595"/>
      <c r="M20" s="320">
        <f>J20/RCL!D13</f>
        <v>1.0008780866372144</v>
      </c>
    </row>
    <row r="21" spans="1:13" ht="15">
      <c r="A21" s="313" t="s">
        <v>621</v>
      </c>
      <c r="B21" s="401">
        <f>B22+B23</f>
        <v>92206929.68109365</v>
      </c>
      <c r="C21" s="401">
        <f>B21/(1+Parâmetros!E11)</f>
        <v>87807760.86191186</v>
      </c>
      <c r="D21" s="595"/>
      <c r="E21" s="320">
        <f>B21/RCL!B13</f>
        <v>0.7424399365068284</v>
      </c>
      <c r="F21" s="401">
        <f>F22+F23</f>
        <v>98480918.48784041</v>
      </c>
      <c r="G21" s="172">
        <f>F21/((1+Parâmetros!E11)*(1+Parâmetros!F11))</f>
        <v>90611033.12253255</v>
      </c>
      <c r="H21" s="595"/>
      <c r="I21" s="320">
        <f>F21/RCL!C13</f>
        <v>0.7512484080735916</v>
      </c>
      <c r="J21" s="401">
        <f>J22+J23</f>
        <v>104647509.39761055</v>
      </c>
      <c r="K21" s="172">
        <f>J21/((1+Parâmetros!E11)*(1+Parâmetros!F11)*(1+Parâmetros!G11))</f>
        <v>93480421.866425</v>
      </c>
      <c r="L21" s="595"/>
      <c r="M21" s="320">
        <f>J21/RCL!D13</f>
        <v>0.7563321354977369</v>
      </c>
    </row>
    <row r="22" spans="1:13" ht="15" customHeight="1">
      <c r="A22" s="315" t="s">
        <v>589</v>
      </c>
      <c r="B22" s="401">
        <f>Projeções!H119-Projeções!H123-Projeções!H124</f>
        <v>49708695.8176594</v>
      </c>
      <c r="C22" s="401">
        <f>B22/(1+Parâmetros!E11)</f>
        <v>47337106.76855481</v>
      </c>
      <c r="D22" s="596"/>
      <c r="E22" s="320">
        <f>B22/RCL!B13</f>
        <v>0.40024888687154214</v>
      </c>
      <c r="F22" s="401">
        <f>Projeções!I119-Projeções!I123-Projeções!I124</f>
        <v>52230517.37388091</v>
      </c>
      <c r="G22" s="172">
        <f>F22/((1+Parâmetros!E11)*(1+Parâmetros!F11))</f>
        <v>48056630.79143685</v>
      </c>
      <c r="H22" s="596"/>
      <c r="I22" s="320">
        <f>F22/RCL!C13</f>
        <v>0.39843345931864843</v>
      </c>
      <c r="J22" s="401">
        <f>Projeções!J119-Projeções!J123-Projeções!J124</f>
        <v>54615153.8751028</v>
      </c>
      <c r="K22" s="172">
        <f>J22/((1+Parâmetros!E11)*(1+Parâmetros!F11)*(1+Parâmetros!G11))</f>
        <v>48787091.57946668</v>
      </c>
      <c r="L22" s="596"/>
      <c r="M22" s="320">
        <f>J22/RCL!D13</f>
        <v>0.39472698584680493</v>
      </c>
    </row>
    <row r="23" spans="1:13" ht="15">
      <c r="A23" s="315" t="s">
        <v>600</v>
      </c>
      <c r="B23" s="401">
        <f>Projeções!H131-Projeções!H135-Projeções!H136</f>
        <v>42498233.86343425</v>
      </c>
      <c r="C23" s="401">
        <f>B23/(1+Parâmetros!E11)</f>
        <v>40470654.09335706</v>
      </c>
      <c r="D23" s="596"/>
      <c r="E23" s="320">
        <f>B23/RCL!B13</f>
        <v>0.3421910496352863</v>
      </c>
      <c r="F23" s="401">
        <f>Projeções!I131-Projeções!I135-Projeções!I136</f>
        <v>46250401.1139595</v>
      </c>
      <c r="G23" s="172">
        <f>F23/((1+Parâmetros!E11)*(1+Parâmetros!F11))</f>
        <v>42554402.33109568</v>
      </c>
      <c r="H23" s="596"/>
      <c r="I23" s="320">
        <f>F23/RCL!C13</f>
        <v>0.35281494875494307</v>
      </c>
      <c r="J23" s="401">
        <f>Projeções!J131-Projeções!J135-Projeções!J136</f>
        <v>50032355.52250774</v>
      </c>
      <c r="K23" s="172">
        <f>J23/((1+Parâmetros!E11)*(1+Parâmetros!F11)*(1+Parâmetros!G11))</f>
        <v>44693330.28695831</v>
      </c>
      <c r="L23" s="596"/>
      <c r="M23" s="320">
        <f>J23/RCL!D13</f>
        <v>0.361605149650932</v>
      </c>
    </row>
    <row r="24" spans="1:13" ht="15">
      <c r="A24" s="316" t="s">
        <v>590</v>
      </c>
      <c r="B24" s="401">
        <f>Projeções!H138-Projeções!H142-Projeções!H143+Projeções!H146+Projeções!H147</f>
        <v>12931498.380507182</v>
      </c>
      <c r="C24" s="401">
        <f>B24/(1+Parâmetros!E11)</f>
        <v>12314539.930013506</v>
      </c>
      <c r="D24" s="596"/>
      <c r="E24" s="320">
        <f>B24/RCL!B13</f>
        <v>0.10412298587283395</v>
      </c>
      <c r="F24" s="401">
        <f>Projeções!I138-Projeções!I142-Projeções!I143+Projeções!I146+Projeções!I147</f>
        <v>16060920.98858992</v>
      </c>
      <c r="G24" s="172">
        <f>F24/((1+Parâmetros!E11)*(1+Parâmetros!F11))</f>
        <v>14777447.916016208</v>
      </c>
      <c r="H24" s="596"/>
      <c r="I24" s="320">
        <f>F24/RCL!C13</f>
        <v>0.12251857019757272</v>
      </c>
      <c r="J24" s="401">
        <f>Projeções!J138-Projeções!J142-Projeções!J143+Projeções!J146+Projeções!J147</f>
        <v>19851298.341897137</v>
      </c>
      <c r="K24" s="172">
        <f>J24/((1+Parâmetros!E11)*(1+Parâmetros!F11)*(1+Parâmetros!G11))</f>
        <v>17732937.499219444</v>
      </c>
      <c r="L24" s="596"/>
      <c r="M24" s="320">
        <f>J24/RCL!D13</f>
        <v>0.14347379076441327</v>
      </c>
    </row>
    <row r="25" spans="1:13" ht="15">
      <c r="A25" s="316" t="s">
        <v>591</v>
      </c>
      <c r="B25" s="401">
        <f>Projeções!H123+Projeções!H135+Projeções!H142+Projeções!H148</f>
        <v>4556386.038703667</v>
      </c>
      <c r="C25" s="401">
        <f>B25/(1+Parâmetros!E11)</f>
        <v>4339002.036666667</v>
      </c>
      <c r="D25" s="596"/>
      <c r="E25" s="320">
        <f>B25/RCL!B13</f>
        <v>0.036687513324384954</v>
      </c>
      <c r="F25" s="401">
        <f>Projeções!I123+Projeções!I135+Projeções!I142+Projeções!I148</f>
        <v>4909205.958602765</v>
      </c>
      <c r="G25" s="172">
        <f>F25/((1+Parâmetros!E11)*(1+Parâmetros!F11))</f>
        <v>4516897.593468453</v>
      </c>
      <c r="H25" s="596"/>
      <c r="I25" s="320">
        <f>F25/RCL!C13</f>
        <v>0.03744921572559342</v>
      </c>
      <c r="J25" s="401">
        <f>Projeções!J123+Projeções!J135+Projeções!J142+Projeções!J148</f>
        <v>5297900.5315752085</v>
      </c>
      <c r="K25" s="172">
        <f>J25/((1+Parâmetros!E11)*(1+Parâmetros!F11)*(1+Parâmetros!G11))</f>
        <v>4732553.880630779</v>
      </c>
      <c r="L25" s="596"/>
      <c r="M25" s="320">
        <f>J25/RCL!D13</f>
        <v>0.03829018431271299</v>
      </c>
    </row>
    <row r="26" spans="1:13" ht="15">
      <c r="A26" s="452" t="s">
        <v>686</v>
      </c>
      <c r="B26" s="451">
        <f>Projeções!H156</f>
        <v>13862257.371817902</v>
      </c>
      <c r="C26" s="401">
        <f>B26/(1+Parâmetros!E11)</f>
        <v>13200892.650050377</v>
      </c>
      <c r="D26" s="596"/>
      <c r="E26" s="320">
        <f>B26/RCL!B13</f>
        <v>0.11161735369097833</v>
      </c>
      <c r="F26" s="451">
        <f>Projeções!I156</f>
        <v>11395973.980748534</v>
      </c>
      <c r="G26" s="172">
        <f>F26/((1+Parâmetros!E11)*(1+Parâmetros!F11))</f>
        <v>10485289.8580614</v>
      </c>
      <c r="H26" s="596"/>
      <c r="I26" s="320">
        <f>F26/RCL!C13</f>
        <v>0.08693265094336494</v>
      </c>
      <c r="J26" s="451">
        <f>Projeções!J156</f>
        <v>8686630.01561056</v>
      </c>
      <c r="K26" s="172">
        <f>J26/((1+Parâmetros!E11)*(1+Parâmetros!F11)*(1+Parâmetros!G11))</f>
        <v>7759667.125679023</v>
      </c>
      <c r="L26" s="596"/>
      <c r="M26" s="320">
        <f>J26/RCL!D13</f>
        <v>0.06278197606235136</v>
      </c>
    </row>
    <row r="27" spans="1:13" ht="15">
      <c r="A27" s="312" t="s">
        <v>592</v>
      </c>
      <c r="B27" s="401">
        <f>B12-B20</f>
        <v>5071993.740771905</v>
      </c>
      <c r="C27" s="401">
        <f>B27/(1+Parâmetros!E11)</f>
        <v>4830010.228332449</v>
      </c>
      <c r="D27" s="596"/>
      <c r="E27" s="320">
        <f>B27/RCL!B13</f>
        <v>0.04083912916182744</v>
      </c>
      <c r="F27" s="401">
        <f>F12-F20</f>
        <v>4882909.139580056</v>
      </c>
      <c r="G27" s="172">
        <f>F27/((1+Parâmetros!E11)*(1+Parâmetros!F11))</f>
        <v>4492702.2267307015</v>
      </c>
      <c r="H27" s="596"/>
      <c r="I27" s="320">
        <f>F27/RCL!C13</f>
        <v>0.03724861398739326</v>
      </c>
      <c r="J27" s="401">
        <f>J12-J20</f>
        <v>4706896.365272284</v>
      </c>
      <c r="K27" s="172">
        <f>J27/((1+Parâmetros!E11)*(1+Parâmetros!F11)*(1+Parâmetros!G11))</f>
        <v>4204616.626234224</v>
      </c>
      <c r="L27" s="596"/>
      <c r="M27" s="320">
        <f>J27/RCL!D13</f>
        <v>0.03401874540546121</v>
      </c>
    </row>
    <row r="28" spans="1:13" ht="15">
      <c r="A28" s="313" t="s">
        <v>593</v>
      </c>
      <c r="B28" s="401">
        <f>'RPrim-Nom'!E58</f>
        <v>4273986.45775</v>
      </c>
      <c r="C28" s="401">
        <f>B28/(1+Parâmetros!E11)</f>
        <v>4070075.666841253</v>
      </c>
      <c r="D28" s="596"/>
      <c r="E28" s="320">
        <f>B28/RCL!B13</f>
        <v>0.03441366332549723</v>
      </c>
      <c r="F28" s="401">
        <f>'RPrim-Nom'!F58</f>
        <v>4028314.4775900003</v>
      </c>
      <c r="G28" s="172">
        <f>F28/((1+Parâmetros!E11)*(1+Parâmetros!F11))</f>
        <v>3706400.612032809</v>
      </c>
      <c r="H28" s="596"/>
      <c r="I28" s="320">
        <f>F28/RCL!C13</f>
        <v>0.0307294538371202</v>
      </c>
      <c r="J28" s="401">
        <f>'RPrim-Nom'!G58</f>
        <v>4242711.596413501</v>
      </c>
      <c r="K28" s="172">
        <f>J28/((1+Parâmetros!E11)*(1+Parâmetros!F11)*(1+Parâmetros!G11))</f>
        <v>3789965.6874142806</v>
      </c>
      <c r="L28" s="596"/>
      <c r="M28" s="320">
        <f>J28/RCL!D13</f>
        <v>0.030663884314954423</v>
      </c>
    </row>
    <row r="29" spans="1:13" ht="18" customHeight="1">
      <c r="A29" s="313" t="s">
        <v>594</v>
      </c>
      <c r="B29" s="401">
        <f>'RPrim-Nom'!E79</f>
        <v>4307.803958333333</v>
      </c>
      <c r="C29" s="401">
        <f>B29/(1+Parâmetros!E11)</f>
        <v>4102.27974319906</v>
      </c>
      <c r="D29" s="596"/>
      <c r="E29" s="320">
        <f>B29/RCL!B13</f>
        <v>3.468595807680004E-05</v>
      </c>
      <c r="F29" s="401">
        <f>'RPrim-Nom'!F79</f>
        <v>3577.926225</v>
      </c>
      <c r="G29" s="172">
        <f>F29/((1+Parâmetros!E11)*(1+Parâmetros!F11))</f>
        <v>3292.0041431526884</v>
      </c>
      <c r="H29" s="596"/>
      <c r="I29" s="320">
        <f>F29/RCL!C13</f>
        <v>2.7293727780045892E-05</v>
      </c>
      <c r="J29" s="401">
        <f>'RPrim-Nom'!G79</f>
        <v>2825.719982361111</v>
      </c>
      <c r="K29" s="172">
        <f>J29/((1+Parâmetros!E11)*(1+Parâmetros!F11)*(1+Parâmetros!G11))</f>
        <v>2524.1833040083325</v>
      </c>
      <c r="L29" s="596"/>
      <c r="M29" s="320">
        <f>J29/RCL!D13</f>
        <v>2.0422682210787575E-05</v>
      </c>
    </row>
    <row r="30" spans="1:13" ht="15">
      <c r="A30" s="312" t="s">
        <v>595</v>
      </c>
      <c r="B30" s="401">
        <f>B27+B28-B29</f>
        <v>9341672.39456357</v>
      </c>
      <c r="C30" s="401">
        <f>B30/(1+Parâmetros!E11)</f>
        <v>8895983.615430502</v>
      </c>
      <c r="D30" s="596"/>
      <c r="E30" s="320">
        <f>B30/RCL!B13</f>
        <v>0.07521810652924787</v>
      </c>
      <c r="F30" s="401">
        <f>F27+F28-F29</f>
        <v>8907645.690945057</v>
      </c>
      <c r="G30" s="172">
        <f>F30/((1+Parâmetros!E11)*(1+Parâmetros!F11))</f>
        <v>8195810.834620358</v>
      </c>
      <c r="H30" s="596"/>
      <c r="I30" s="320">
        <f>F30/RCL!C13</f>
        <v>0.06795077409673342</v>
      </c>
      <c r="J30" s="401">
        <f>J27+J28-J29</f>
        <v>8946782.241703423</v>
      </c>
      <c r="K30" s="172">
        <f>J30/((1+Parâmetros!E11)*(1+Parâmetros!F11)*(1+Parâmetros!G11))</f>
        <v>7992058.130344496</v>
      </c>
      <c r="L30" s="596"/>
      <c r="M30" s="320">
        <f>J30/RCL!D13</f>
        <v>0.06466220703820484</v>
      </c>
    </row>
    <row r="31" spans="1:13" ht="15">
      <c r="A31" s="312" t="s">
        <v>69</v>
      </c>
      <c r="B31" s="401">
        <f>Dívida!E7</f>
        <v>1012500</v>
      </c>
      <c r="C31" s="401">
        <f>B31/(1+Parâmetros!E11)</f>
        <v>964193.8862965432</v>
      </c>
      <c r="D31" s="596"/>
      <c r="E31" s="320">
        <f>B31/RCL!B13</f>
        <v>0.008152537323529368</v>
      </c>
      <c r="F31" s="401">
        <f>Dívida!F7</f>
        <v>900000</v>
      </c>
      <c r="G31" s="172">
        <f>F31/((1+Parâmetros!E11)*(1+Parâmetros!F11))</f>
        <v>828078.4852788348</v>
      </c>
      <c r="H31" s="596"/>
      <c r="I31" s="320">
        <f>F31/RCL!C13</f>
        <v>0.006865528649082557</v>
      </c>
      <c r="J31" s="401">
        <f>Dívida!G7</f>
        <v>862500</v>
      </c>
      <c r="K31" s="172">
        <f>J31/((1+Parâmetros!E11)*(1+Parâmetros!F11)*(1+Parâmetros!G11))</f>
        <v>770461.373843576</v>
      </c>
      <c r="L31" s="596"/>
      <c r="M31" s="320">
        <f>J31/RCL!D13</f>
        <v>0.006233654968205991</v>
      </c>
    </row>
    <row r="32" spans="1:13" ht="15">
      <c r="A32" s="317" t="s">
        <v>596</v>
      </c>
      <c r="B32" s="401">
        <f>Dívida!E16</f>
        <v>-37988754.50333333</v>
      </c>
      <c r="C32" s="401">
        <f>B32/(1+Parâmetros!E11)</f>
        <v>-36176320.82976224</v>
      </c>
      <c r="D32" s="596"/>
      <c r="E32" s="320">
        <f>B32/RCL!B13</f>
        <v>-0.305881223666982</v>
      </c>
      <c r="F32" s="401">
        <f>Dívida!F16</f>
        <v>-43022523.21777778</v>
      </c>
      <c r="G32" s="172">
        <f>F32/((1+Parâmetros!E11)*(1+Parâmetros!F11))</f>
        <v>-39584473.17672325</v>
      </c>
      <c r="H32" s="596"/>
      <c r="I32" s="320">
        <f>F32/RCL!C13</f>
        <v>-0.3281915174527476</v>
      </c>
      <c r="J32" s="401">
        <f>Dívida!G16</f>
        <v>-45158777.8737037</v>
      </c>
      <c r="K32" s="172">
        <f>J32/((1+Parâmetros!E11)*(1+Parâmetros!F11)*(1+Parâmetros!G11))</f>
        <v>-40339819.17874856</v>
      </c>
      <c r="L32" s="596"/>
      <c r="M32" s="320">
        <f>J32/RCL!D13</f>
        <v>-0.32638172759481027</v>
      </c>
    </row>
    <row r="33" spans="1:13" ht="15">
      <c r="A33" s="312" t="s">
        <v>597</v>
      </c>
      <c r="B33" s="401">
        <v>0</v>
      </c>
      <c r="C33" s="401">
        <f>B33/(1+Parâmetros!E11)</f>
        <v>0</v>
      </c>
      <c r="D33" s="596"/>
      <c r="E33" s="320">
        <f>B33/RCL!B13</f>
        <v>0</v>
      </c>
      <c r="F33" s="401">
        <v>0</v>
      </c>
      <c r="G33" s="172">
        <f>F33/((1+Parâmetros!E11)*(1+Parâmetros!F11))</f>
        <v>0</v>
      </c>
      <c r="H33" s="596"/>
      <c r="I33" s="320">
        <f>F33/RCL!C13</f>
        <v>0</v>
      </c>
      <c r="J33" s="401">
        <v>0</v>
      </c>
      <c r="K33" s="172">
        <f>J33/((1+Parâmetros!E11)*(1+Parâmetros!F11)*(1+Parâmetros!G11))</f>
        <v>0</v>
      </c>
      <c r="L33" s="596"/>
      <c r="M33" s="320">
        <f>J33/RCL!D13</f>
        <v>0</v>
      </c>
    </row>
    <row r="34" spans="1:13" ht="15">
      <c r="A34" s="312" t="s">
        <v>598</v>
      </c>
      <c r="B34" s="401">
        <v>0</v>
      </c>
      <c r="C34" s="401">
        <f>B34/(1+Parâmetros!E11)</f>
        <v>0</v>
      </c>
      <c r="D34" s="596"/>
      <c r="E34" s="320">
        <f>B34/RCL!B13</f>
        <v>0</v>
      </c>
      <c r="F34" s="401">
        <v>0</v>
      </c>
      <c r="G34" s="172">
        <f>F34/((1+Parâmetros!E11)*(1+Parâmetros!F11))</f>
        <v>0</v>
      </c>
      <c r="H34" s="596"/>
      <c r="I34" s="320">
        <f>F34/RCL!C13</f>
        <v>0</v>
      </c>
      <c r="J34" s="401">
        <v>0</v>
      </c>
      <c r="K34" s="172">
        <f>J34/((1+Parâmetros!E11)*(1+Parâmetros!F11)*(1+Parâmetros!G11))</f>
        <v>0</v>
      </c>
      <c r="L34" s="596"/>
      <c r="M34" s="320">
        <f>J34/RCL!D13</f>
        <v>0</v>
      </c>
    </row>
    <row r="35" spans="1:13" ht="15">
      <c r="A35" s="317" t="s">
        <v>599</v>
      </c>
      <c r="B35" s="401">
        <f>B33-B34</f>
        <v>0</v>
      </c>
      <c r="C35" s="401">
        <f>B35/(1+Parâmetros!E11)</f>
        <v>0</v>
      </c>
      <c r="D35" s="597"/>
      <c r="E35" s="320">
        <f>B35/RCL!B13</f>
        <v>0</v>
      </c>
      <c r="F35" s="401">
        <f>F33-F34</f>
        <v>0</v>
      </c>
      <c r="G35" s="172">
        <f>F35/((1+Parâmetros!E11)*(1+Parâmetros!F11))</f>
        <v>0</v>
      </c>
      <c r="H35" s="597"/>
      <c r="I35" s="320">
        <f>F35/RCL!C13</f>
        <v>0</v>
      </c>
      <c r="J35" s="401">
        <f>J33-J34</f>
        <v>0</v>
      </c>
      <c r="K35" s="172">
        <f>J35/((1+Parâmetros!E11)*(1+Parâmetros!F11)*(1+Parâmetros!G11))</f>
        <v>0</v>
      </c>
      <c r="L35" s="597"/>
      <c r="M35" s="320">
        <f>J35/RCL!D13</f>
        <v>0</v>
      </c>
    </row>
    <row r="36" spans="1:13" ht="15.75" customHeight="1">
      <c r="A36" s="609" t="s">
        <v>687</v>
      </c>
      <c r="B36" s="609"/>
      <c r="C36" s="609"/>
      <c r="D36" s="609"/>
      <c r="E36" s="609"/>
      <c r="F36" s="609"/>
      <c r="G36" s="609"/>
      <c r="H36" s="609"/>
      <c r="I36" s="609"/>
      <c r="J36" s="609"/>
      <c r="K36" s="609"/>
      <c r="L36" s="609"/>
      <c r="M36" s="609"/>
    </row>
  </sheetData>
  <sheetProtection/>
  <mergeCells count="15">
    <mergeCell ref="A1:L1"/>
    <mergeCell ref="A2:L2"/>
    <mergeCell ref="A3:L3"/>
    <mergeCell ref="A4:L4"/>
    <mergeCell ref="A5:L5"/>
    <mergeCell ref="D11:D35"/>
    <mergeCell ref="A6:H6"/>
    <mergeCell ref="J6:M6"/>
    <mergeCell ref="A7:A10"/>
    <mergeCell ref="B7:E7"/>
    <mergeCell ref="A36:M36"/>
    <mergeCell ref="F7:I7"/>
    <mergeCell ref="J7:M7"/>
    <mergeCell ref="H11:H35"/>
    <mergeCell ref="L11:L35"/>
  </mergeCells>
  <printOptions/>
  <pageMargins left="0.511811024" right="0.511811024" top="0.787401575" bottom="0.787401575" header="0.31496062" footer="0.31496062"/>
  <pageSetup horizontalDpi="600" verticalDpi="600" orientation="portrait" paperSize="9" scale="52" r:id="rId2"/>
  <drawing r:id="rId1"/>
</worksheet>
</file>

<file path=xl/worksheets/sheet8.xml><?xml version="1.0" encoding="utf-8"?>
<worksheet xmlns="http://schemas.openxmlformats.org/spreadsheetml/2006/main" xmlns:r="http://schemas.openxmlformats.org/officeDocument/2006/relationships">
  <dimension ref="A1:J18"/>
  <sheetViews>
    <sheetView zoomScale="90" zoomScaleNormal="90" zoomScaleSheetLayoutView="90" zoomScalePageLayoutView="0" workbookViewId="0" topLeftCell="A1">
      <selection activeCell="H15" sqref="H15"/>
    </sheetView>
  </sheetViews>
  <sheetFormatPr defaultColWidth="9.140625" defaultRowHeight="12.75"/>
  <cols>
    <col min="1" max="1" width="32.7109375" style="13" customWidth="1"/>
    <col min="2" max="3" width="15.57421875" style="13" bestFit="1" customWidth="1"/>
    <col min="4" max="4" width="12.140625" style="13" customWidth="1"/>
    <col min="5" max="6" width="15.57421875" style="13" bestFit="1" customWidth="1"/>
    <col min="7" max="7" width="10.7109375" style="13" customWidth="1"/>
    <col min="8" max="9" width="14.28125" style="13" bestFit="1" customWidth="1"/>
    <col min="10" max="10" width="10.140625" style="13" customWidth="1"/>
    <col min="11" max="16384" width="9.140625" style="13" customWidth="1"/>
  </cols>
  <sheetData>
    <row r="1" spans="1:10" ht="14.25">
      <c r="A1" s="633" t="str">
        <f>Parâmetros!A7</f>
        <v>Município de : IVOTI</v>
      </c>
      <c r="B1" s="631"/>
      <c r="C1" s="631"/>
      <c r="D1" s="631"/>
      <c r="E1" s="631"/>
      <c r="F1" s="631"/>
      <c r="G1" s="631"/>
      <c r="H1" s="631"/>
      <c r="I1" s="631"/>
      <c r="J1" s="632"/>
    </row>
    <row r="2" spans="1:10" ht="14.25">
      <c r="A2" s="630" t="s">
        <v>36</v>
      </c>
      <c r="B2" s="631"/>
      <c r="C2" s="631"/>
      <c r="D2" s="631"/>
      <c r="E2" s="631"/>
      <c r="F2" s="631"/>
      <c r="G2" s="631"/>
      <c r="H2" s="631"/>
      <c r="I2" s="631"/>
      <c r="J2" s="632"/>
    </row>
    <row r="3" spans="1:10" ht="14.25">
      <c r="A3" s="630" t="s">
        <v>144</v>
      </c>
      <c r="B3" s="631"/>
      <c r="C3" s="631"/>
      <c r="D3" s="631"/>
      <c r="E3" s="631"/>
      <c r="F3" s="631"/>
      <c r="G3" s="631"/>
      <c r="H3" s="631"/>
      <c r="I3" s="631"/>
      <c r="J3" s="632"/>
    </row>
    <row r="4" spans="1:10" ht="15">
      <c r="A4" s="634" t="s">
        <v>425</v>
      </c>
      <c r="B4" s="635"/>
      <c r="C4" s="635"/>
      <c r="D4" s="635"/>
      <c r="E4" s="635"/>
      <c r="F4" s="635"/>
      <c r="G4" s="635"/>
      <c r="H4" s="635"/>
      <c r="I4" s="635"/>
      <c r="J4" s="636"/>
    </row>
    <row r="5" spans="1:10" ht="17.25" customHeight="1">
      <c r="A5" s="630" t="s">
        <v>639</v>
      </c>
      <c r="B5" s="631"/>
      <c r="C5" s="631"/>
      <c r="D5" s="631"/>
      <c r="E5" s="631"/>
      <c r="F5" s="631"/>
      <c r="G5" s="631"/>
      <c r="H5" s="631"/>
      <c r="I5" s="631"/>
      <c r="J5" s="632"/>
    </row>
    <row r="6" spans="1:10" ht="21.75" customHeight="1">
      <c r="A6" s="105"/>
      <c r="B6" s="106"/>
      <c r="C6" s="106"/>
      <c r="D6" s="106"/>
      <c r="E6" s="106"/>
      <c r="F6" s="106"/>
      <c r="G6" s="106"/>
      <c r="H6" s="106"/>
      <c r="I6" s="106"/>
      <c r="J6" s="107"/>
    </row>
    <row r="7" spans="1:10" ht="15">
      <c r="A7" s="624" t="s">
        <v>438</v>
      </c>
      <c r="B7" s="625"/>
      <c r="C7" s="625"/>
      <c r="D7" s="626"/>
      <c r="E7" s="637"/>
      <c r="F7" s="637"/>
      <c r="G7" s="637"/>
      <c r="H7" s="638">
        <v>1</v>
      </c>
      <c r="I7" s="639"/>
      <c r="J7" s="639"/>
    </row>
    <row r="8" spans="1:10" s="14" customFormat="1" ht="14.25">
      <c r="A8" s="618" t="s">
        <v>56</v>
      </c>
      <c r="B8" s="621">
        <f>Parâmetros!E10</f>
        <v>2023</v>
      </c>
      <c r="C8" s="622"/>
      <c r="D8" s="623"/>
      <c r="E8" s="621">
        <f>B8+1</f>
        <v>2024</v>
      </c>
      <c r="F8" s="622"/>
      <c r="G8" s="623"/>
      <c r="H8" s="621">
        <f>E8+1</f>
        <v>2025</v>
      </c>
      <c r="I8" s="622"/>
      <c r="J8" s="623"/>
    </row>
    <row r="9" spans="1:10" ht="15.75" customHeight="1">
      <c r="A9" s="619"/>
      <c r="B9" s="323" t="s">
        <v>57</v>
      </c>
      <c r="C9" s="324" t="s">
        <v>57</v>
      </c>
      <c r="D9" s="324" t="s">
        <v>58</v>
      </c>
      <c r="E9" s="324" t="s">
        <v>57</v>
      </c>
      <c r="F9" s="324" t="s">
        <v>57</v>
      </c>
      <c r="G9" s="324" t="s">
        <v>58</v>
      </c>
      <c r="H9" s="324" t="s">
        <v>57</v>
      </c>
      <c r="I9" s="324" t="s">
        <v>57</v>
      </c>
      <c r="J9" s="325" t="s">
        <v>58</v>
      </c>
    </row>
    <row r="10" spans="1:10" ht="15.75" customHeight="1">
      <c r="A10" s="619"/>
      <c r="B10" s="326" t="s">
        <v>59</v>
      </c>
      <c r="C10" s="327" t="s">
        <v>60</v>
      </c>
      <c r="D10" s="327" t="s">
        <v>61</v>
      </c>
      <c r="E10" s="327" t="s">
        <v>59</v>
      </c>
      <c r="F10" s="327" t="s">
        <v>60</v>
      </c>
      <c r="G10" s="327" t="s">
        <v>62</v>
      </c>
      <c r="H10" s="327" t="s">
        <v>59</v>
      </c>
      <c r="I10" s="327" t="s">
        <v>60</v>
      </c>
      <c r="J10" s="328" t="s">
        <v>63</v>
      </c>
    </row>
    <row r="11" spans="1:10" ht="15.75" customHeight="1">
      <c r="A11" s="620"/>
      <c r="B11" s="329" t="s">
        <v>64</v>
      </c>
      <c r="C11" s="330"/>
      <c r="D11" s="331" t="s">
        <v>65</v>
      </c>
      <c r="E11" s="331" t="s">
        <v>66</v>
      </c>
      <c r="F11" s="330"/>
      <c r="G11" s="331" t="s">
        <v>65</v>
      </c>
      <c r="H11" s="331" t="s">
        <v>67</v>
      </c>
      <c r="I11" s="330"/>
      <c r="J11" s="332" t="s">
        <v>65</v>
      </c>
    </row>
    <row r="12" spans="1:10" ht="14.25" customHeight="1">
      <c r="A12" s="333" t="s">
        <v>138</v>
      </c>
      <c r="B12" s="334">
        <f>Projeções!H17+Projeções!H28+Projeções!H73+Projeções!H96+Projeções!H99</f>
        <v>20959471.395924732</v>
      </c>
      <c r="C12" s="334">
        <f>B12/(1+Parâmetros!E11)</f>
        <v>19959500.42464978</v>
      </c>
      <c r="D12" s="627" t="s">
        <v>640</v>
      </c>
      <c r="E12" s="334">
        <f>Projeções!I17+Projeções!I28+Projeções!I73+Projeções!I96+Projeções!I99</f>
        <v>22030926.843311407</v>
      </c>
      <c r="F12" s="334">
        <f>E12/((1+Parâmetros!E11)*(1+Parâmetros!F11))</f>
        <v>20270373.921886813</v>
      </c>
      <c r="G12" s="627" t="s">
        <v>640</v>
      </c>
      <c r="H12" s="335">
        <f>Projeções!J17+Projeções!J28+Projeções!J73+Projeções!J96+Projeções!J99</f>
        <v>23064504.8557745</v>
      </c>
      <c r="I12" s="335">
        <f>H12/((1+Parâmetros!E11)*(1+Parâmetros!F11)*(1+Parâmetros!G11))</f>
        <v>20603258.08487171</v>
      </c>
      <c r="J12" s="627" t="s">
        <v>640</v>
      </c>
    </row>
    <row r="13" spans="1:10" ht="14.25">
      <c r="A13" s="333" t="s">
        <v>139</v>
      </c>
      <c r="B13" s="336">
        <f>B12-Projeções!H28</f>
        <v>15069223.94063585</v>
      </c>
      <c r="C13" s="336">
        <f>B13/(1+Parâmetros!E11)</f>
        <v>14350275.15535268</v>
      </c>
      <c r="D13" s="628"/>
      <c r="E13" s="336">
        <f>E12-Projeções!I28</f>
        <v>15830881.823111609</v>
      </c>
      <c r="F13" s="336">
        <f>E13/((1+Parâmetros!E11)*(1+Parâmetros!F11))</f>
        <v>14565791.823011667</v>
      </c>
      <c r="G13" s="628"/>
      <c r="H13" s="337">
        <f>H12-Projeções!J28</f>
        <v>16550737.557552591</v>
      </c>
      <c r="I13" s="337">
        <f>H13/((1+Parâmetros!E11)*(1+Parâmetros!F11)*(1+Parâmetros!G11))</f>
        <v>14784584.344019061</v>
      </c>
      <c r="J13" s="628"/>
    </row>
    <row r="14" spans="1:10" ht="14.25">
      <c r="A14" s="333" t="s">
        <v>140</v>
      </c>
      <c r="B14" s="336">
        <f>Projeções!H122+Projeções!H128+Projeções!H134+Projeções!H141+Projeções!H153</f>
        <v>6083261.341904503</v>
      </c>
      <c r="C14" s="336">
        <f>B14/(1+Parâmetros!E11)</f>
        <v>5793030.513193509</v>
      </c>
      <c r="D14" s="628"/>
      <c r="E14" s="336">
        <f>Projeções!I122+Projeções!I128+Projeções!I134+Projeções!I141+Projeções!I153</f>
        <v>6400650.92079039</v>
      </c>
      <c r="F14" s="336">
        <f>E14/((1+Parâmetros!E11)*(1+Parâmetros!F11))</f>
        <v>5889157.0214296505</v>
      </c>
      <c r="G14" s="628"/>
      <c r="H14" s="337">
        <f>Projeções!J122+Projeções!J128+Projeções!J134+Projeções!J141+Projeções!J153</f>
        <v>6702060.455829245</v>
      </c>
      <c r="I14" s="337">
        <f>H14/((1+Parâmetros!E11)*(1+Parâmetros!F11)*(1+Parâmetros!G11))</f>
        <v>5986873.862470613</v>
      </c>
      <c r="J14" s="628"/>
    </row>
    <row r="15" spans="1:10" ht="14.25">
      <c r="A15" s="333" t="s">
        <v>141</v>
      </c>
      <c r="B15" s="336">
        <f>B14-Projeções!H128-Projeções!H153</f>
        <v>6083261.341904503</v>
      </c>
      <c r="C15" s="336">
        <f>B15/(1+Parâmetros!E11)</f>
        <v>5793030.513193509</v>
      </c>
      <c r="D15" s="628"/>
      <c r="E15" s="336">
        <f>E14-Projeções!I128-Projeções!I153</f>
        <v>6400650.92079039</v>
      </c>
      <c r="F15" s="336">
        <f>E15/((1+Parâmetros!E11)*(1+Parâmetros!F11))</f>
        <v>5889157.0214296505</v>
      </c>
      <c r="G15" s="628"/>
      <c r="H15" s="337">
        <f>H14-Projeções!J128-Projeções!J153</f>
        <v>6702060.455829245</v>
      </c>
      <c r="I15" s="337">
        <f>H15/((1+Parâmetros!E11)*(1+Parâmetros!F11)*(1+Parâmetros!G11))</f>
        <v>5986873.862470613</v>
      </c>
      <c r="J15" s="628"/>
    </row>
    <row r="16" spans="1:10" ht="21.75" customHeight="1">
      <c r="A16" s="333" t="s">
        <v>142</v>
      </c>
      <c r="B16" s="338">
        <f>B13-B15</f>
        <v>8985962.598731346</v>
      </c>
      <c r="C16" s="338">
        <f>C13-C15</f>
        <v>8557244.642159171</v>
      </c>
      <c r="D16" s="629"/>
      <c r="E16" s="338">
        <f>E13-E15</f>
        <v>9430230.90232122</v>
      </c>
      <c r="F16" s="338">
        <f>F13-F15</f>
        <v>8676634.801582016</v>
      </c>
      <c r="G16" s="629"/>
      <c r="H16" s="339">
        <f>H13-H15</f>
        <v>9848677.101723347</v>
      </c>
      <c r="I16" s="339">
        <f>I13-I15</f>
        <v>8797710.481548447</v>
      </c>
      <c r="J16" s="629"/>
    </row>
    <row r="18" spans="1:10" s="108" customFormat="1" ht="15" customHeight="1">
      <c r="A18" s="617" t="s">
        <v>679</v>
      </c>
      <c r="B18" s="617"/>
      <c r="C18" s="617"/>
      <c r="D18" s="617"/>
      <c r="E18" s="617"/>
      <c r="F18" s="617"/>
      <c r="G18" s="617"/>
      <c r="H18" s="617"/>
      <c r="I18" s="617"/>
      <c r="J18" s="617"/>
    </row>
  </sheetData>
  <sheetProtection/>
  <mergeCells count="16">
    <mergeCell ref="A5:J5"/>
    <mergeCell ref="A1:J1"/>
    <mergeCell ref="A2:J2"/>
    <mergeCell ref="A3:J3"/>
    <mergeCell ref="A4:J4"/>
    <mergeCell ref="E7:G7"/>
    <mergeCell ref="H7:J7"/>
    <mergeCell ref="A18:J18"/>
    <mergeCell ref="A8:A11"/>
    <mergeCell ref="B8:D8"/>
    <mergeCell ref="E8:G8"/>
    <mergeCell ref="H8:J8"/>
    <mergeCell ref="A7:D7"/>
    <mergeCell ref="D12:D16"/>
    <mergeCell ref="G12:G16"/>
    <mergeCell ref="J12:J16"/>
  </mergeCells>
  <printOptions/>
  <pageMargins left="0.787401575" right="0.787401575" top="0.984251969" bottom="0.984251969" header="0.492125985" footer="0.492125985"/>
  <pageSetup horizontalDpi="300" verticalDpi="300" orientation="portrait" scale="63" r:id="rId2"/>
  <drawing r:id="rId1"/>
</worksheet>
</file>

<file path=xl/worksheets/sheet9.xml><?xml version="1.0" encoding="utf-8"?>
<worksheet xmlns="http://schemas.openxmlformats.org/spreadsheetml/2006/main" xmlns:r="http://schemas.openxmlformats.org/officeDocument/2006/relationships">
  <sheetPr codeName="Plan12"/>
  <dimension ref="A1:I21"/>
  <sheetViews>
    <sheetView view="pageBreakPreview" zoomScaleNormal="90" zoomScaleSheetLayoutView="100" zoomScalePageLayoutView="0" workbookViewId="0" topLeftCell="A2">
      <selection activeCell="D21" sqref="D21:E21"/>
    </sheetView>
  </sheetViews>
  <sheetFormatPr defaultColWidth="9.140625" defaultRowHeight="12.75"/>
  <cols>
    <col min="1" max="1" width="20.7109375" style="11" customWidth="1"/>
    <col min="2" max="2" width="17.28125" style="11" customWidth="1"/>
    <col min="3" max="3" width="9.7109375" style="11" customWidth="1"/>
    <col min="4" max="4" width="9.28125" style="11" customWidth="1"/>
    <col min="5" max="5" width="17.28125" style="11" customWidth="1"/>
    <col min="6" max="6" width="9.7109375" style="11" customWidth="1"/>
    <col min="7" max="7" width="8.28125" style="11" bestFit="1" customWidth="1"/>
    <col min="8" max="8" width="16.8515625" style="11" customWidth="1"/>
    <col min="9" max="9" width="10.140625" style="11" customWidth="1"/>
    <col min="10" max="16384" width="9.140625" style="11" customWidth="1"/>
  </cols>
  <sheetData>
    <row r="1" spans="1:9" ht="12.75">
      <c r="A1" s="666" t="str">
        <f>Parâmetros!A7</f>
        <v>Município de : IVOTI</v>
      </c>
      <c r="B1" s="649"/>
      <c r="C1" s="649"/>
      <c r="D1" s="649"/>
      <c r="E1" s="649"/>
      <c r="F1" s="649"/>
      <c r="G1" s="649"/>
      <c r="H1" s="649"/>
      <c r="I1" s="650"/>
    </row>
    <row r="2" spans="1:9" ht="12.75">
      <c r="A2" s="648" t="s">
        <v>36</v>
      </c>
      <c r="B2" s="649"/>
      <c r="C2" s="649"/>
      <c r="D2" s="649"/>
      <c r="E2" s="649"/>
      <c r="F2" s="649"/>
      <c r="G2" s="649"/>
      <c r="H2" s="649"/>
      <c r="I2" s="650"/>
    </row>
    <row r="3" spans="1:9" ht="12.75">
      <c r="A3" s="648" t="s">
        <v>144</v>
      </c>
      <c r="B3" s="649"/>
      <c r="C3" s="649"/>
      <c r="D3" s="649"/>
      <c r="E3" s="649"/>
      <c r="F3" s="649"/>
      <c r="G3" s="649"/>
      <c r="H3" s="649"/>
      <c r="I3" s="650"/>
    </row>
    <row r="4" spans="1:9" ht="12.75">
      <c r="A4" s="667" t="s">
        <v>426</v>
      </c>
      <c r="B4" s="668"/>
      <c r="C4" s="668"/>
      <c r="D4" s="668"/>
      <c r="E4" s="668"/>
      <c r="F4" s="668"/>
      <c r="G4" s="668"/>
      <c r="H4" s="668"/>
      <c r="I4" s="669"/>
    </row>
    <row r="5" spans="1:9" ht="12.75">
      <c r="A5" s="648" t="s">
        <v>639</v>
      </c>
      <c r="B5" s="649"/>
      <c r="C5" s="649"/>
      <c r="D5" s="649"/>
      <c r="E5" s="649"/>
      <c r="F5" s="649"/>
      <c r="G5" s="649"/>
      <c r="H5" s="649"/>
      <c r="I5" s="650"/>
    </row>
    <row r="6" spans="1:9" ht="12.75">
      <c r="A6" s="648"/>
      <c r="B6" s="649"/>
      <c r="C6" s="649"/>
      <c r="D6" s="649"/>
      <c r="E6" s="649"/>
      <c r="F6" s="649"/>
      <c r="G6" s="649"/>
      <c r="H6" s="649"/>
      <c r="I6" s="650"/>
    </row>
    <row r="7" spans="1:9" ht="12.75" customHeight="1">
      <c r="A7" s="646" t="s">
        <v>437</v>
      </c>
      <c r="B7" s="647"/>
      <c r="C7" s="171"/>
      <c r="D7" s="171"/>
      <c r="E7" s="171"/>
      <c r="F7" s="171"/>
      <c r="G7" s="171"/>
      <c r="H7" s="658">
        <v>1</v>
      </c>
      <c r="I7" s="659"/>
    </row>
    <row r="8" spans="1:9" ht="10.5" customHeight="1">
      <c r="A8" s="640" t="s">
        <v>56</v>
      </c>
      <c r="B8" s="643" t="s">
        <v>109</v>
      </c>
      <c r="C8" s="643" t="s">
        <v>58</v>
      </c>
      <c r="D8" s="643" t="s">
        <v>363</v>
      </c>
      <c r="E8" s="643" t="s">
        <v>110</v>
      </c>
      <c r="F8" s="643" t="s">
        <v>58</v>
      </c>
      <c r="G8" s="643" t="s">
        <v>363</v>
      </c>
      <c r="H8" s="660" t="s">
        <v>70</v>
      </c>
      <c r="I8" s="661"/>
    </row>
    <row r="9" spans="1:9" ht="12.75" customHeight="1">
      <c r="A9" s="641"/>
      <c r="B9" s="644"/>
      <c r="C9" s="644"/>
      <c r="D9" s="644"/>
      <c r="E9" s="644"/>
      <c r="F9" s="644"/>
      <c r="G9" s="644"/>
      <c r="H9" s="662"/>
      <c r="I9" s="663"/>
    </row>
    <row r="10" spans="1:9" ht="22.5" customHeight="1">
      <c r="A10" s="642"/>
      <c r="B10" s="208" t="s">
        <v>641</v>
      </c>
      <c r="C10" s="645"/>
      <c r="D10" s="645"/>
      <c r="E10" s="209" t="s">
        <v>642</v>
      </c>
      <c r="F10" s="645"/>
      <c r="G10" s="645"/>
      <c r="H10" s="210" t="s">
        <v>111</v>
      </c>
      <c r="I10" s="207" t="s">
        <v>71</v>
      </c>
    </row>
    <row r="11" spans="1:9" ht="12.75">
      <c r="A11" s="206" t="s">
        <v>39</v>
      </c>
      <c r="B11" s="172">
        <v>105572841.74460454</v>
      </c>
      <c r="C11" s="654" t="s">
        <v>643</v>
      </c>
      <c r="D11" s="240">
        <f>B11/D21</f>
        <v>1.023927910599549</v>
      </c>
      <c r="E11" s="211">
        <f>Projeções!F110-Projeções!F98-Projeções!F101</f>
        <v>111191060.35</v>
      </c>
      <c r="F11" s="654" t="s">
        <v>643</v>
      </c>
      <c r="G11" s="240">
        <f>E11/D21</f>
        <v>1.0784177845373042</v>
      </c>
      <c r="H11" s="241">
        <f aca="true" t="shared" si="0" ref="H11:H18">E11-B11</f>
        <v>5618218.605395451</v>
      </c>
      <c r="I11" s="242">
        <f aca="true" t="shared" si="1" ref="I11:I18">IF(B11=0,"-",(H11/B11))</f>
        <v>0.05321651394955065</v>
      </c>
    </row>
    <row r="12" spans="1:9" ht="12.75">
      <c r="A12" s="206" t="s">
        <v>115</v>
      </c>
      <c r="B12" s="172">
        <v>90020162.66756997</v>
      </c>
      <c r="C12" s="655"/>
      <c r="D12" s="240">
        <f>B12/D21</f>
        <v>0.8730858765270201</v>
      </c>
      <c r="E12" s="211">
        <f>E11-Projeções!F25-Projeções!F80-Projeções!F86+Projeções!F30+1345.42</f>
        <v>107805280.67999999</v>
      </c>
      <c r="F12" s="655"/>
      <c r="G12" s="240">
        <f>E12/D21</f>
        <v>1.0455798477539011</v>
      </c>
      <c r="H12" s="241">
        <f t="shared" si="0"/>
        <v>17785118.012430027</v>
      </c>
      <c r="I12" s="242">
        <f t="shared" si="1"/>
        <v>0.1975681612363623</v>
      </c>
    </row>
    <row r="13" spans="1:9" ht="12.75">
      <c r="A13" s="206" t="s">
        <v>40</v>
      </c>
      <c r="B13" s="172">
        <v>105572841.74460454</v>
      </c>
      <c r="C13" s="655"/>
      <c r="D13" s="240">
        <f>B13/D21</f>
        <v>1.023927910599549</v>
      </c>
      <c r="E13" s="211">
        <f>Projeções!F158-Projeções!F124-Projeções!F130-Projeções!F136-Projeções!F143-Projeções!F149-Projeções!F155</f>
        <v>87625208.92999999</v>
      </c>
      <c r="F13" s="655"/>
      <c r="G13" s="240">
        <f>E13/D21</f>
        <v>0.8498577438371285</v>
      </c>
      <c r="H13" s="241">
        <f t="shared" si="0"/>
        <v>-17947632.81460455</v>
      </c>
      <c r="I13" s="242">
        <f t="shared" si="1"/>
        <v>-0.17000236536231905</v>
      </c>
    </row>
    <row r="14" spans="1:9" ht="12.75">
      <c r="A14" s="206" t="s">
        <v>116</v>
      </c>
      <c r="B14" s="172">
        <v>83477232.43363664</v>
      </c>
      <c r="C14" s="655"/>
      <c r="D14" s="240">
        <f>B14/D21</f>
        <v>0.8096274266745763</v>
      </c>
      <c r="E14" s="211">
        <f>E13-Projeções!F125-Projeções!F150-Projeções!F145</f>
        <v>87273550.14999999</v>
      </c>
      <c r="F14" s="655"/>
      <c r="G14" s="240">
        <f>E14/D21</f>
        <v>0.8464470822133706</v>
      </c>
      <c r="H14" s="241">
        <f t="shared" si="0"/>
        <v>3796317.7163633555</v>
      </c>
      <c r="I14" s="242">
        <f t="shared" si="1"/>
        <v>0.045477282915211414</v>
      </c>
    </row>
    <row r="15" spans="1:9" ht="25.5">
      <c r="A15" s="206" t="s">
        <v>72</v>
      </c>
      <c r="B15" s="239">
        <v>6542930.23393333</v>
      </c>
      <c r="C15" s="655"/>
      <c r="D15" s="240">
        <f>B15/D21</f>
        <v>0.0634584498524438</v>
      </c>
      <c r="E15" s="239">
        <f>E12-E14</f>
        <v>20531730.53</v>
      </c>
      <c r="F15" s="655"/>
      <c r="G15" s="240">
        <f>E15/D21</f>
        <v>0.19913276554053055</v>
      </c>
      <c r="H15" s="241">
        <f t="shared" si="0"/>
        <v>13988800.296066672</v>
      </c>
      <c r="I15" s="242">
        <f t="shared" si="1"/>
        <v>2.1380023622317004</v>
      </c>
    </row>
    <row r="16" spans="1:9" ht="15" customHeight="1">
      <c r="A16" s="206" t="s">
        <v>37</v>
      </c>
      <c r="B16" s="173">
        <v>12263181.209878758</v>
      </c>
      <c r="C16" s="655"/>
      <c r="D16" s="240">
        <f>B16/D21</f>
        <v>0.11893791344473807</v>
      </c>
      <c r="E16" s="211">
        <v>23904051.18</v>
      </c>
      <c r="F16" s="655"/>
      <c r="G16" s="240">
        <f>E16/D21</f>
        <v>0.23184016623151066</v>
      </c>
      <c r="H16" s="241">
        <f t="shared" si="0"/>
        <v>11640869.970121242</v>
      </c>
      <c r="I16" s="242">
        <f t="shared" si="1"/>
        <v>0.9492536863716728</v>
      </c>
    </row>
    <row r="17" spans="1:9" ht="27" customHeight="1">
      <c r="A17" s="206" t="s">
        <v>73</v>
      </c>
      <c r="B17" s="173">
        <v>859086.7466666667</v>
      </c>
      <c r="C17" s="655"/>
      <c r="D17" s="240">
        <f>B17/D21</f>
        <v>0.008332094533044239</v>
      </c>
      <c r="E17" s="211">
        <v>1012500</v>
      </c>
      <c r="F17" s="655"/>
      <c r="G17" s="240">
        <f>E17/D21</f>
        <v>0.009820016136252455</v>
      </c>
      <c r="H17" s="241">
        <f t="shared" si="0"/>
        <v>153413.2533333333</v>
      </c>
      <c r="I17" s="242">
        <f t="shared" si="1"/>
        <v>0.1785771389543494</v>
      </c>
    </row>
    <row r="18" spans="1:9" ht="28.5" customHeight="1">
      <c r="A18" s="206" t="s">
        <v>74</v>
      </c>
      <c r="B18" s="173">
        <v>-12925019.202769572</v>
      </c>
      <c r="C18" s="656"/>
      <c r="D18" s="240">
        <f>B18/D21</f>
        <v>-0.12535693543957535</v>
      </c>
      <c r="E18" s="211">
        <f>Dívida!C16</f>
        <v>-36613759.25</v>
      </c>
      <c r="F18" s="656"/>
      <c r="G18" s="240">
        <f>E18/D21</f>
        <v>-0.3551088460680124</v>
      </c>
      <c r="H18" s="241">
        <f t="shared" si="0"/>
        <v>-23688740.04723043</v>
      </c>
      <c r="I18" s="242">
        <f t="shared" si="1"/>
        <v>1.8327818067886823</v>
      </c>
    </row>
    <row r="19" spans="1:9" ht="12.75">
      <c r="A19" s="657" t="s">
        <v>675</v>
      </c>
      <c r="B19" s="657"/>
      <c r="C19" s="657"/>
      <c r="D19" s="657"/>
      <c r="E19" s="657"/>
      <c r="F19" s="657"/>
      <c r="G19" s="657"/>
      <c r="H19" s="657"/>
      <c r="I19" s="657"/>
    </row>
    <row r="20" spans="1:9" ht="12.75">
      <c r="A20" s="340"/>
      <c r="B20" s="340"/>
      <c r="C20" s="340"/>
      <c r="D20" s="340"/>
      <c r="E20" s="340"/>
      <c r="F20" s="340"/>
      <c r="G20" s="340"/>
      <c r="H20" s="340"/>
      <c r="I20" s="340"/>
    </row>
    <row r="21" spans="1:9" ht="12.75">
      <c r="A21" s="651" t="s">
        <v>644</v>
      </c>
      <c r="B21" s="652"/>
      <c r="C21" s="653"/>
      <c r="D21" s="664">
        <v>103105736.89</v>
      </c>
      <c r="E21" s="665"/>
      <c r="F21" s="340"/>
      <c r="G21" s="340"/>
      <c r="H21" s="340"/>
      <c r="I21" s="340"/>
    </row>
  </sheetData>
  <sheetProtection/>
  <mergeCells count="21">
    <mergeCell ref="A5:I5"/>
    <mergeCell ref="H8:I9"/>
    <mergeCell ref="D21:E21"/>
    <mergeCell ref="A1:I1"/>
    <mergeCell ref="A2:I2"/>
    <mergeCell ref="A3:I3"/>
    <mergeCell ref="A4:I4"/>
    <mergeCell ref="C8:C10"/>
    <mergeCell ref="A21:C21"/>
    <mergeCell ref="C11:C18"/>
    <mergeCell ref="F11:F18"/>
    <mergeCell ref="A19:I19"/>
    <mergeCell ref="H7:I7"/>
    <mergeCell ref="D8:D10"/>
    <mergeCell ref="B8:B9"/>
    <mergeCell ref="A8:A10"/>
    <mergeCell ref="F8:F10"/>
    <mergeCell ref="E8:E9"/>
    <mergeCell ref="G8:G10"/>
    <mergeCell ref="A7:B7"/>
    <mergeCell ref="A6:I6"/>
  </mergeCells>
  <printOptions/>
  <pageMargins left="0.787401575" right="0.787401575" top="0.984251969" bottom="0.984251969" header="0.492125985" footer="0.492125985"/>
  <pageSetup horizontalDpi="300" verticalDpi="3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Câmara Ivoti</cp:lastModifiedBy>
  <cp:lastPrinted>2017-06-02T02:16:51Z</cp:lastPrinted>
  <dcterms:created xsi:type="dcterms:W3CDTF">2000-07-04T17:38:30Z</dcterms:created>
  <dcterms:modified xsi:type="dcterms:W3CDTF">2022-09-28T20:01:15Z</dcterms:modified>
  <cp:category/>
  <cp:version/>
  <cp:contentType/>
  <cp:contentStatus/>
</cp:coreProperties>
</file>