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âmara Ivoti\Documents\Projetos de lei\PROJETOS DE LEI 2025\PL 46-2025\"/>
    </mc:Choice>
  </mc:AlternateContent>
  <bookViews>
    <workbookView xWindow="-120" yWindow="-120" windowWidth="29040" windowHeight="15720" tabRatio="632" activeTab="3"/>
  </bookViews>
  <sheets>
    <sheet name="Anexo I - Programas" sheetId="1" r:id="rId1"/>
    <sheet name="Anexo II - Resumo dos Programas" sheetId="2" r:id="rId2"/>
    <sheet name="Anexo III - Progr-Ação-Fun-Subf" sheetId="3" r:id="rId3"/>
    <sheet name="Anexo IV -Projetos e Ativid " sheetId="4"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6" i="1" l="1"/>
  <c r="A48" i="3"/>
  <c r="G246" i="1"/>
  <c r="H246" i="1"/>
  <c r="I246" i="1"/>
  <c r="D118" i="4"/>
  <c r="E118" i="4" s="1"/>
  <c r="A73" i="3"/>
  <c r="A74" i="3"/>
  <c r="A63" i="3"/>
  <c r="F350" i="1"/>
  <c r="F348" i="1"/>
  <c r="F346" i="1"/>
  <c r="F344" i="1"/>
  <c r="F342" i="1"/>
  <c r="F340" i="1"/>
  <c r="G328" i="1"/>
  <c r="J328" i="1" s="1"/>
  <c r="H328" i="1"/>
  <c r="I328" i="1"/>
  <c r="F328" i="1"/>
  <c r="E32" i="3"/>
  <c r="E31" i="3"/>
  <c r="D21" i="4"/>
  <c r="F81" i="1" s="1"/>
  <c r="C7" i="3"/>
  <c r="C8" i="3" s="1"/>
  <c r="E99" i="4"/>
  <c r="G350" i="1"/>
  <c r="F99" i="4"/>
  <c r="H350" i="1" s="1"/>
  <c r="E98" i="4"/>
  <c r="F98" i="4" s="1"/>
  <c r="G98" i="4" s="1"/>
  <c r="E97" i="4"/>
  <c r="G346" i="1"/>
  <c r="E96" i="4"/>
  <c r="G342" i="1" s="1"/>
  <c r="F96" i="4"/>
  <c r="E95" i="4"/>
  <c r="F95" i="4"/>
  <c r="G95" i="4"/>
  <c r="E94" i="4"/>
  <c r="A72" i="3"/>
  <c r="A75" i="3"/>
  <c r="G63" i="4"/>
  <c r="I280" i="1"/>
  <c r="F63" i="4"/>
  <c r="H280" i="1"/>
  <c r="E63" i="4"/>
  <c r="G280" i="1"/>
  <c r="D63" i="4"/>
  <c r="F280" i="1" s="1"/>
  <c r="J280" i="1" s="1"/>
  <c r="D82" i="4"/>
  <c r="F453" i="1"/>
  <c r="E82" i="4"/>
  <c r="G453" i="1" s="1"/>
  <c r="D120" i="4"/>
  <c r="F242" i="1" s="1"/>
  <c r="D92" i="4"/>
  <c r="F336" i="1"/>
  <c r="J336" i="1" s="1"/>
  <c r="D52" i="4"/>
  <c r="F244" i="1" s="1"/>
  <c r="D38" i="4"/>
  <c r="F140" i="1"/>
  <c r="D37" i="4"/>
  <c r="F138" i="1"/>
  <c r="D43" i="4"/>
  <c r="E43" i="4"/>
  <c r="G152" i="1" s="1"/>
  <c r="F43" i="4"/>
  <c r="G136" i="4"/>
  <c r="F136" i="4"/>
  <c r="H409" i="1" s="1"/>
  <c r="H405" i="1" s="1"/>
  <c r="E23" i="2" s="1"/>
  <c r="F139" i="4"/>
  <c r="E136" i="4"/>
  <c r="E139" i="4" s="1"/>
  <c r="G409" i="1"/>
  <c r="D136" i="4"/>
  <c r="F409" i="1"/>
  <c r="D72" i="4"/>
  <c r="E72" i="4" s="1"/>
  <c r="E20" i="4"/>
  <c r="G77" i="1" s="1"/>
  <c r="D20" i="4"/>
  <c r="F77" i="1"/>
  <c r="D54" i="4"/>
  <c r="F79" i="1" s="1"/>
  <c r="J79" i="1" s="1"/>
  <c r="D53" i="4"/>
  <c r="D64" i="4"/>
  <c r="E64" i="4" s="1"/>
  <c r="G282" i="1" s="1"/>
  <c r="D59" i="4"/>
  <c r="F53" i="1"/>
  <c r="D7" i="4"/>
  <c r="D105" i="4"/>
  <c r="E105" i="4"/>
  <c r="D130" i="4"/>
  <c r="D131" i="4" s="1"/>
  <c r="C244" i="1"/>
  <c r="C242" i="1"/>
  <c r="C226" i="1"/>
  <c r="C210" i="1"/>
  <c r="E122" i="4"/>
  <c r="G228" i="1"/>
  <c r="F122" i="4"/>
  <c r="H228" i="1"/>
  <c r="G122" i="4"/>
  <c r="I228" i="1"/>
  <c r="D122" i="4"/>
  <c r="F228" i="1" s="1"/>
  <c r="J228" i="1" s="1"/>
  <c r="D119" i="4"/>
  <c r="F212" i="1" s="1"/>
  <c r="J212" i="1" s="1"/>
  <c r="D117" i="4"/>
  <c r="F208" i="1"/>
  <c r="D116" i="4"/>
  <c r="F226" i="1" s="1"/>
  <c r="E116" i="4"/>
  <c r="D83" i="4"/>
  <c r="E83" i="4" s="1"/>
  <c r="D80" i="4"/>
  <c r="D79" i="4"/>
  <c r="F55" i="1"/>
  <c r="D71" i="4"/>
  <c r="E71" i="4"/>
  <c r="F71" i="4" s="1"/>
  <c r="D69" i="4"/>
  <c r="D62" i="4"/>
  <c r="F264" i="1" s="1"/>
  <c r="D61" i="4"/>
  <c r="D66" i="4" s="1"/>
  <c r="F278" i="1"/>
  <c r="D30" i="4"/>
  <c r="F116" i="1" s="1"/>
  <c r="D29" i="4"/>
  <c r="D28" i="4"/>
  <c r="D18" i="4"/>
  <c r="E18" i="4" s="1"/>
  <c r="D17" i="4"/>
  <c r="E17" i="4"/>
  <c r="F49" i="1"/>
  <c r="D12" i="4"/>
  <c r="F29" i="1" s="1"/>
  <c r="D10" i="4"/>
  <c r="E30" i="3"/>
  <c r="F156" i="1"/>
  <c r="G156" i="1"/>
  <c r="E42" i="4"/>
  <c r="F42" i="4"/>
  <c r="G42" i="4" s="1"/>
  <c r="I150" i="1" s="1"/>
  <c r="D41" i="4"/>
  <c r="F146" i="1" s="1"/>
  <c r="F40" i="4"/>
  <c r="G40" i="4" s="1"/>
  <c r="H144" i="1"/>
  <c r="D40" i="4"/>
  <c r="F144" i="1"/>
  <c r="D39" i="4"/>
  <c r="F142" i="1"/>
  <c r="D35" i="4"/>
  <c r="F134" i="1"/>
  <c r="D36" i="4"/>
  <c r="F136" i="1"/>
  <c r="J136" i="1"/>
  <c r="D45" i="4"/>
  <c r="F176" i="1" s="1"/>
  <c r="D46" i="4"/>
  <c r="F190" i="1" s="1"/>
  <c r="D51" i="4"/>
  <c r="F174" i="1"/>
  <c r="D47" i="4"/>
  <c r="F192" i="1"/>
  <c r="J192" i="1" s="1"/>
  <c r="E78" i="3"/>
  <c r="E76" i="3"/>
  <c r="H102" i="4"/>
  <c r="E101" i="4"/>
  <c r="F101" i="4"/>
  <c r="G101" i="4"/>
  <c r="A80" i="3"/>
  <c r="A81" i="3"/>
  <c r="I389" i="1"/>
  <c r="H389" i="1"/>
  <c r="G389" i="1"/>
  <c r="I387" i="1"/>
  <c r="G387" i="1"/>
  <c r="F387" i="1"/>
  <c r="H395" i="1"/>
  <c r="I395" i="1"/>
  <c r="G104" i="4"/>
  <c r="F106" i="4"/>
  <c r="H387" i="1" s="1"/>
  <c r="J387" i="1" s="1"/>
  <c r="E109" i="4"/>
  <c r="G395" i="1"/>
  <c r="D110" i="4"/>
  <c r="F389" i="1"/>
  <c r="J389" i="1" s="1"/>
  <c r="E130" i="4"/>
  <c r="F129" i="4"/>
  <c r="F130" i="4"/>
  <c r="F131" i="4"/>
  <c r="H460" i="1"/>
  <c r="H456" i="1"/>
  <c r="D138" i="4"/>
  <c r="F425" i="1" s="1"/>
  <c r="C59" i="1"/>
  <c r="A15" i="3"/>
  <c r="H156" i="1"/>
  <c r="I156" i="1"/>
  <c r="A38" i="3"/>
  <c r="I154" i="1"/>
  <c r="H154" i="1"/>
  <c r="F13" i="1"/>
  <c r="F11" i="1"/>
  <c r="C5" i="2"/>
  <c r="G15" i="1"/>
  <c r="G11" i="1"/>
  <c r="D5" i="2"/>
  <c r="H15" i="1"/>
  <c r="J15" i="1" s="1"/>
  <c r="I15" i="1"/>
  <c r="I11" i="1"/>
  <c r="F5" i="2" s="1"/>
  <c r="F27" i="1"/>
  <c r="G27" i="1"/>
  <c r="H27" i="1"/>
  <c r="I27" i="1"/>
  <c r="G29" i="1"/>
  <c r="H29" i="1"/>
  <c r="I29" i="1"/>
  <c r="F31" i="1"/>
  <c r="G31" i="1"/>
  <c r="H31" i="1"/>
  <c r="H25" i="1" s="1"/>
  <c r="E6" i="2" s="1"/>
  <c r="I31" i="1"/>
  <c r="I25" i="1" s="1"/>
  <c r="F6" i="2" s="1"/>
  <c r="F33" i="1"/>
  <c r="J33" i="1" s="1"/>
  <c r="G33" i="1"/>
  <c r="H33" i="1"/>
  <c r="I33" i="1"/>
  <c r="C36" i="1"/>
  <c r="F45" i="1"/>
  <c r="G45" i="1"/>
  <c r="H45" i="1"/>
  <c r="I45" i="1"/>
  <c r="C57" i="1"/>
  <c r="F71" i="1"/>
  <c r="G71" i="1"/>
  <c r="H71" i="1"/>
  <c r="I71" i="1"/>
  <c r="C73" i="1"/>
  <c r="F73" i="1"/>
  <c r="J73" i="1" s="1"/>
  <c r="G73" i="1"/>
  <c r="H73" i="1"/>
  <c r="I73" i="1"/>
  <c r="F75" i="1"/>
  <c r="G75" i="1"/>
  <c r="H75" i="1"/>
  <c r="I75" i="1"/>
  <c r="G79" i="1"/>
  <c r="H79" i="1"/>
  <c r="I79" i="1"/>
  <c r="I81" i="1"/>
  <c r="F83" i="1"/>
  <c r="G83" i="1"/>
  <c r="H83" i="1"/>
  <c r="I83" i="1"/>
  <c r="C85" i="1"/>
  <c r="F85" i="1"/>
  <c r="G85" i="1"/>
  <c r="H85" i="1"/>
  <c r="I85" i="1"/>
  <c r="C87" i="1"/>
  <c r="F87" i="1"/>
  <c r="J87" i="1" s="1"/>
  <c r="G87" i="1"/>
  <c r="H87" i="1"/>
  <c r="I87" i="1"/>
  <c r="C90" i="1"/>
  <c r="F99" i="1"/>
  <c r="G99" i="1"/>
  <c r="H99" i="1"/>
  <c r="I99" i="1"/>
  <c r="C104" i="1"/>
  <c r="F114" i="1"/>
  <c r="G114" i="1"/>
  <c r="H114" i="1"/>
  <c r="I114" i="1"/>
  <c r="B118" i="1"/>
  <c r="C118" i="1"/>
  <c r="F118" i="1"/>
  <c r="G118" i="1"/>
  <c r="H118" i="1"/>
  <c r="I118" i="1"/>
  <c r="C197" i="1"/>
  <c r="F206" i="1"/>
  <c r="G206" i="1"/>
  <c r="H206" i="1"/>
  <c r="I206" i="1"/>
  <c r="C212" i="1"/>
  <c r="G212" i="1"/>
  <c r="H212" i="1"/>
  <c r="I212" i="1"/>
  <c r="C121" i="1"/>
  <c r="F132" i="1"/>
  <c r="G132" i="1"/>
  <c r="H132" i="1"/>
  <c r="I132" i="1"/>
  <c r="C136" i="1"/>
  <c r="G136" i="1"/>
  <c r="H136" i="1"/>
  <c r="I136" i="1"/>
  <c r="C138" i="1"/>
  <c r="G138" i="1"/>
  <c r="H138" i="1"/>
  <c r="I138" i="1"/>
  <c r="B140" i="1"/>
  <c r="C140" i="1"/>
  <c r="B142" i="1"/>
  <c r="C142" i="1"/>
  <c r="G142" i="1"/>
  <c r="H142" i="1"/>
  <c r="J142" i="1" s="1"/>
  <c r="I142" i="1"/>
  <c r="B144" i="1"/>
  <c r="C144" i="1"/>
  <c r="B148" i="1"/>
  <c r="C148" i="1"/>
  <c r="F148" i="1"/>
  <c r="G148" i="1"/>
  <c r="H148" i="1"/>
  <c r="J148" i="1" s="1"/>
  <c r="I148" i="1"/>
  <c r="F150" i="1"/>
  <c r="J150" i="1" s="1"/>
  <c r="F154" i="1"/>
  <c r="G154" i="1"/>
  <c r="C161" i="1"/>
  <c r="F172" i="1"/>
  <c r="G172" i="1"/>
  <c r="H172" i="1"/>
  <c r="I172" i="1"/>
  <c r="G174" i="1"/>
  <c r="G170" i="1" s="1"/>
  <c r="D13" i="2" s="1"/>
  <c r="H174" i="1"/>
  <c r="I174" i="1"/>
  <c r="C179" i="1"/>
  <c r="F188" i="1"/>
  <c r="G188" i="1"/>
  <c r="H188" i="1"/>
  <c r="I188" i="1"/>
  <c r="G190" i="1"/>
  <c r="H190" i="1"/>
  <c r="I190" i="1"/>
  <c r="G192" i="1"/>
  <c r="H192" i="1"/>
  <c r="I192" i="1"/>
  <c r="F194" i="1"/>
  <c r="J194" i="1" s="1"/>
  <c r="G194" i="1"/>
  <c r="H194" i="1"/>
  <c r="I194" i="1"/>
  <c r="C215" i="1"/>
  <c r="F224" i="1"/>
  <c r="G224" i="1"/>
  <c r="H224" i="1"/>
  <c r="I224" i="1"/>
  <c r="B228" i="1"/>
  <c r="C228" i="1"/>
  <c r="C231" i="1"/>
  <c r="F240" i="1"/>
  <c r="G240" i="1"/>
  <c r="H240" i="1"/>
  <c r="I240" i="1"/>
  <c r="G244" i="1"/>
  <c r="I244" i="1"/>
  <c r="F260" i="1"/>
  <c r="G260" i="1"/>
  <c r="H260" i="1"/>
  <c r="I260" i="1"/>
  <c r="F262" i="1"/>
  <c r="G262" i="1"/>
  <c r="H262" i="1"/>
  <c r="C267" i="1"/>
  <c r="F276" i="1"/>
  <c r="G276" i="1"/>
  <c r="H276" i="1"/>
  <c r="I276" i="1"/>
  <c r="C280" i="1"/>
  <c r="C282" i="1"/>
  <c r="F284" i="1"/>
  <c r="J284" i="1" s="1"/>
  <c r="G284" i="1"/>
  <c r="H284" i="1"/>
  <c r="C287" i="1"/>
  <c r="F298" i="1"/>
  <c r="G298" i="1"/>
  <c r="H298" i="1"/>
  <c r="I298" i="1"/>
  <c r="C300" i="1"/>
  <c r="C302" i="1"/>
  <c r="F302" i="1"/>
  <c r="G302" i="1"/>
  <c r="H302" i="1"/>
  <c r="I302" i="1"/>
  <c r="C308" i="1"/>
  <c r="B310" i="1"/>
  <c r="C310" i="1"/>
  <c r="F310" i="1"/>
  <c r="G310" i="1"/>
  <c r="H310" i="1"/>
  <c r="I310" i="1"/>
  <c r="B312" i="1"/>
  <c r="C312" i="1"/>
  <c r="F312" i="1"/>
  <c r="G312" i="1"/>
  <c r="J312" i="1" s="1"/>
  <c r="H312" i="1"/>
  <c r="I312" i="1"/>
  <c r="C315" i="1"/>
  <c r="F324" i="1"/>
  <c r="G324" i="1"/>
  <c r="H324" i="1"/>
  <c r="I324" i="1"/>
  <c r="F326" i="1"/>
  <c r="G326" i="1"/>
  <c r="H326" i="1"/>
  <c r="I326" i="1"/>
  <c r="C330" i="1"/>
  <c r="F330" i="1"/>
  <c r="G330" i="1"/>
  <c r="H330" i="1"/>
  <c r="I330" i="1"/>
  <c r="F332" i="1"/>
  <c r="G332" i="1"/>
  <c r="H332" i="1"/>
  <c r="I332" i="1"/>
  <c r="F334" i="1"/>
  <c r="G334" i="1"/>
  <c r="H334" i="1"/>
  <c r="G336" i="1"/>
  <c r="H336" i="1"/>
  <c r="I336" i="1"/>
  <c r="F338" i="1"/>
  <c r="G338" i="1"/>
  <c r="H338" i="1"/>
  <c r="I338" i="1"/>
  <c r="J338" i="1" s="1"/>
  <c r="F362" i="1"/>
  <c r="G362" i="1"/>
  <c r="H362" i="1"/>
  <c r="I362" i="1"/>
  <c r="B364" i="1"/>
  <c r="C364" i="1"/>
  <c r="F364" i="1"/>
  <c r="F360" i="1"/>
  <c r="C22" i="2"/>
  <c r="G364" i="1"/>
  <c r="H364" i="1"/>
  <c r="H360" i="1"/>
  <c r="E22" i="2"/>
  <c r="I364" i="1"/>
  <c r="I360" i="1"/>
  <c r="F22" i="2" s="1"/>
  <c r="C367" i="1"/>
  <c r="F379" i="1"/>
  <c r="G379" i="1"/>
  <c r="H379" i="1"/>
  <c r="I379" i="1"/>
  <c r="F381" i="1"/>
  <c r="G381" i="1"/>
  <c r="H381" i="1"/>
  <c r="I381" i="1"/>
  <c r="F383" i="1"/>
  <c r="G383" i="1"/>
  <c r="H383" i="1"/>
  <c r="F385" i="1"/>
  <c r="G385" i="1"/>
  <c r="H385" i="1"/>
  <c r="I385" i="1"/>
  <c r="F393" i="1"/>
  <c r="G393" i="1"/>
  <c r="H393" i="1"/>
  <c r="I393" i="1"/>
  <c r="B395" i="1"/>
  <c r="C395" i="1"/>
  <c r="C398" i="1"/>
  <c r="F407" i="1"/>
  <c r="G407" i="1"/>
  <c r="H407" i="1"/>
  <c r="I407" i="1"/>
  <c r="C409" i="1"/>
  <c r="C412" i="1"/>
  <c r="F421" i="1"/>
  <c r="G421" i="1"/>
  <c r="H421" i="1"/>
  <c r="I421" i="1"/>
  <c r="C423" i="1"/>
  <c r="F423" i="1"/>
  <c r="G423" i="1"/>
  <c r="H423" i="1"/>
  <c r="I423" i="1"/>
  <c r="C425" i="1"/>
  <c r="G425" i="1"/>
  <c r="G419" i="1" s="1"/>
  <c r="D24" i="2" s="1"/>
  <c r="H425" i="1"/>
  <c r="I425" i="1"/>
  <c r="C428" i="1"/>
  <c r="F437" i="1"/>
  <c r="G437" i="1"/>
  <c r="H437" i="1"/>
  <c r="I437" i="1"/>
  <c r="B439" i="1"/>
  <c r="C439" i="1"/>
  <c r="F439" i="1"/>
  <c r="G439" i="1"/>
  <c r="H439" i="1"/>
  <c r="I439" i="1"/>
  <c r="B441" i="1"/>
  <c r="C441" i="1"/>
  <c r="F441" i="1"/>
  <c r="J441" i="1" s="1"/>
  <c r="G441" i="1"/>
  <c r="H441" i="1"/>
  <c r="I441" i="1"/>
  <c r="F449" i="1"/>
  <c r="G449" i="1"/>
  <c r="H449" i="1"/>
  <c r="I449" i="1"/>
  <c r="B456" i="1"/>
  <c r="C456" i="1"/>
  <c r="F456" i="1"/>
  <c r="G456" i="1"/>
  <c r="I456" i="1"/>
  <c r="A5" i="3"/>
  <c r="A6" i="3"/>
  <c r="A7" i="3"/>
  <c r="A8" i="3" s="1"/>
  <c r="A9" i="3"/>
  <c r="A10" i="3"/>
  <c r="A11" i="3"/>
  <c r="A12" i="3"/>
  <c r="A13" i="3"/>
  <c r="A14" i="3"/>
  <c r="A16" i="3"/>
  <c r="A17" i="3"/>
  <c r="A18" i="3"/>
  <c r="A19" i="3"/>
  <c r="A20" i="3"/>
  <c r="A21" i="3"/>
  <c r="A22" i="3"/>
  <c r="A23" i="3"/>
  <c r="A24" i="3"/>
  <c r="A25" i="3"/>
  <c r="A27" i="3"/>
  <c r="A28" i="3" s="1"/>
  <c r="A29" i="3" s="1"/>
  <c r="D28" i="3"/>
  <c r="D29" i="3"/>
  <c r="A30" i="3"/>
  <c r="D30" i="3"/>
  <c r="A31" i="3"/>
  <c r="A32" i="3"/>
  <c r="A33" i="3"/>
  <c r="A34" i="3"/>
  <c r="A35" i="3"/>
  <c r="A36" i="3"/>
  <c r="A37" i="3"/>
  <c r="A39" i="3"/>
  <c r="A40" i="3"/>
  <c r="A41" i="3"/>
  <c r="A42" i="3"/>
  <c r="A43" i="3"/>
  <c r="A44" i="3"/>
  <c r="A45" i="3"/>
  <c r="A46" i="3"/>
  <c r="A47" i="3"/>
  <c r="A49" i="3"/>
  <c r="A50" i="3"/>
  <c r="A51" i="3"/>
  <c r="A52" i="3"/>
  <c r="A53" i="3"/>
  <c r="A54" i="3"/>
  <c r="A55" i="3"/>
  <c r="A56" i="3"/>
  <c r="A57" i="3"/>
  <c r="A58" i="3"/>
  <c r="A59" i="3"/>
  <c r="A60" i="3"/>
  <c r="A61" i="3"/>
  <c r="A62" i="3"/>
  <c r="A64" i="3"/>
  <c r="A65" i="3"/>
  <c r="A66" i="3"/>
  <c r="A67" i="3"/>
  <c r="A68" i="3"/>
  <c r="A69" i="3"/>
  <c r="A70" i="3"/>
  <c r="A71" i="3"/>
  <c r="A76" i="3"/>
  <c r="A77" i="3"/>
  <c r="A78" i="3"/>
  <c r="A79" i="3"/>
  <c r="A82" i="3"/>
  <c r="A83" i="3"/>
  <c r="A85" i="3"/>
  <c r="A86" i="3"/>
  <c r="A87" i="3"/>
  <c r="A89" i="3"/>
  <c r="E7" i="4"/>
  <c r="F7" i="4"/>
  <c r="G7" i="4"/>
  <c r="H81" i="1"/>
  <c r="G134" i="1"/>
  <c r="H134" i="1"/>
  <c r="I134" i="1"/>
  <c r="J134" i="1" s="1"/>
  <c r="G176" i="1"/>
  <c r="H176" i="1"/>
  <c r="H170" i="1" s="1"/>
  <c r="E13" i="2" s="1"/>
  <c r="G140" i="1"/>
  <c r="H140" i="1"/>
  <c r="I140" i="1"/>
  <c r="G144" i="1"/>
  <c r="H244" i="1"/>
  <c r="I262" i="1"/>
  <c r="I284" i="1"/>
  <c r="F308" i="1"/>
  <c r="G130" i="4"/>
  <c r="I460" i="1" s="1"/>
  <c r="G308" i="1"/>
  <c r="I308" i="1"/>
  <c r="H308" i="1"/>
  <c r="G81" i="1"/>
  <c r="I334" i="1"/>
  <c r="I176" i="1"/>
  <c r="I170" i="1" s="1"/>
  <c r="F13" i="2" s="1"/>
  <c r="F395" i="1"/>
  <c r="F458" i="1"/>
  <c r="G458" i="1"/>
  <c r="H458" i="1"/>
  <c r="I458" i="1"/>
  <c r="J458" i="1" s="1"/>
  <c r="G344" i="1"/>
  <c r="E59" i="4"/>
  <c r="G53" i="1" s="1"/>
  <c r="H435" i="1"/>
  <c r="E25" i="2"/>
  <c r="G435" i="1"/>
  <c r="D25" i="2" s="1"/>
  <c r="I186" i="1"/>
  <c r="F14" i="2" s="1"/>
  <c r="I348" i="1"/>
  <c r="J308" i="1"/>
  <c r="H419" i="1"/>
  <c r="E24" i="2" s="1"/>
  <c r="F419" i="1"/>
  <c r="C24" i="2" s="1"/>
  <c r="G24" i="2" s="1"/>
  <c r="J310" i="1"/>
  <c r="D101" i="4"/>
  <c r="D100" i="4"/>
  <c r="G348" i="1"/>
  <c r="F304" i="1"/>
  <c r="F282" i="1"/>
  <c r="J156" i="1"/>
  <c r="H186" i="1"/>
  <c r="E14" i="2" s="1"/>
  <c r="E120" i="4"/>
  <c r="J425" i="1"/>
  <c r="E100" i="4"/>
  <c r="G131" i="4"/>
  <c r="F451" i="1"/>
  <c r="H150" i="1"/>
  <c r="F170" i="1"/>
  <c r="F405" i="1"/>
  <c r="C23" i="2"/>
  <c r="G186" i="1"/>
  <c r="D14" i="2"/>
  <c r="J140" i="1"/>
  <c r="G150" i="1"/>
  <c r="F59" i="4"/>
  <c r="D139" i="4"/>
  <c r="F97" i="4"/>
  <c r="I435" i="1"/>
  <c r="F25" i="2" s="1"/>
  <c r="F59" i="1"/>
  <c r="G25" i="1"/>
  <c r="D6" i="2"/>
  <c r="J302" i="1"/>
  <c r="J246" i="1"/>
  <c r="J190" i="1"/>
  <c r="F18" i="4"/>
  <c r="F47" i="1"/>
  <c r="D14" i="4"/>
  <c r="E10" i="4"/>
  <c r="F64" i="4"/>
  <c r="H282" i="1" s="1"/>
  <c r="J439" i="1"/>
  <c r="F435" i="1"/>
  <c r="E117" i="4"/>
  <c r="E79" i="4"/>
  <c r="F79" i="4" s="1"/>
  <c r="D84" i="4"/>
  <c r="F460" i="1"/>
  <c r="J393" i="1"/>
  <c r="F258" i="1"/>
  <c r="J385" i="1"/>
  <c r="E80" i="4"/>
  <c r="F57" i="1"/>
  <c r="E28" i="4"/>
  <c r="F51" i="1"/>
  <c r="G49" i="1"/>
  <c r="F17" i="4"/>
  <c r="H49" i="1" s="1"/>
  <c r="F152" i="1"/>
  <c r="J456" i="1"/>
  <c r="I419" i="1"/>
  <c r="F24" i="2" s="1"/>
  <c r="E29" i="4"/>
  <c r="F29" i="4" s="1"/>
  <c r="J423" i="1"/>
  <c r="J85" i="1"/>
  <c r="F300" i="1"/>
  <c r="E69" i="4"/>
  <c r="F69" i="4" s="1"/>
  <c r="J332" i="1"/>
  <c r="C13" i="2"/>
  <c r="G13" i="2" s="1"/>
  <c r="F120" i="4"/>
  <c r="G120" i="4" s="1"/>
  <c r="I242" i="1" s="1"/>
  <c r="I238" i="1" s="1"/>
  <c r="F16" i="2" s="1"/>
  <c r="G242" i="1"/>
  <c r="J242" i="1" s="1"/>
  <c r="F28" i="4"/>
  <c r="H51" i="1" s="1"/>
  <c r="G51" i="1"/>
  <c r="E84" i="4"/>
  <c r="G55" i="1"/>
  <c r="C17" i="2"/>
  <c r="G17" i="4"/>
  <c r="F117" i="4"/>
  <c r="G117" i="4" s="1"/>
  <c r="I208" i="1" s="1"/>
  <c r="G208" i="1"/>
  <c r="H242" i="1"/>
  <c r="H238" i="1" s="1"/>
  <c r="E16" i="2" s="1"/>
  <c r="G28" i="4"/>
  <c r="I51" i="1"/>
  <c r="J51" i="1"/>
  <c r="J244" i="1" l="1"/>
  <c r="F238" i="1"/>
  <c r="J29" i="1"/>
  <c r="F25" i="1"/>
  <c r="G306" i="1"/>
  <c r="F72" i="4"/>
  <c r="E76" i="4"/>
  <c r="I144" i="1"/>
  <c r="G238" i="1"/>
  <c r="D16" i="2" s="1"/>
  <c r="J460" i="1"/>
  <c r="E14" i="4"/>
  <c r="F10" i="4"/>
  <c r="G47" i="1"/>
  <c r="H348" i="1"/>
  <c r="J348" i="1" s="1"/>
  <c r="J118" i="1"/>
  <c r="J75" i="1"/>
  <c r="G460" i="1"/>
  <c r="E131" i="4"/>
  <c r="J395" i="1"/>
  <c r="E41" i="4"/>
  <c r="G304" i="1"/>
  <c r="F222" i="1"/>
  <c r="G340" i="1"/>
  <c r="F94" i="4"/>
  <c r="J81" i="1"/>
  <c r="F210" i="1"/>
  <c r="G226" i="1"/>
  <c r="G222" i="1" s="1"/>
  <c r="D15" i="2" s="1"/>
  <c r="E123" i="4"/>
  <c r="J83" i="1"/>
  <c r="G210" i="1"/>
  <c r="G204" i="1" s="1"/>
  <c r="D11" i="2" s="1"/>
  <c r="F118" i="4"/>
  <c r="G57" i="1"/>
  <c r="F80" i="4"/>
  <c r="G79" i="4"/>
  <c r="H55" i="1"/>
  <c r="J31" i="1"/>
  <c r="J170" i="1"/>
  <c r="F296" i="1"/>
  <c r="J138" i="1"/>
  <c r="F112" i="1"/>
  <c r="D76" i="4"/>
  <c r="G391" i="1"/>
  <c r="G377" i="1" s="1"/>
  <c r="D21" i="2" s="1"/>
  <c r="E113" i="4"/>
  <c r="F105" i="4"/>
  <c r="G405" i="1"/>
  <c r="D23" i="2" s="1"/>
  <c r="J419" i="1"/>
  <c r="G360" i="1"/>
  <c r="D22" i="2" s="1"/>
  <c r="G22" i="2" s="1"/>
  <c r="J364" i="1"/>
  <c r="G71" i="4"/>
  <c r="I304" i="1" s="1"/>
  <c r="J304" i="1" s="1"/>
  <c r="H304" i="1"/>
  <c r="G101" i="1"/>
  <c r="G97" i="1" s="1"/>
  <c r="D9" i="2" s="1"/>
  <c r="H59" i="1"/>
  <c r="G18" i="4"/>
  <c r="I59" i="1" s="1"/>
  <c r="D123" i="4"/>
  <c r="J334" i="1"/>
  <c r="J330" i="1"/>
  <c r="H11" i="1"/>
  <c r="J154" i="1"/>
  <c r="E61" i="4"/>
  <c r="F391" i="1"/>
  <c r="D113" i="4"/>
  <c r="D25" i="4"/>
  <c r="F82" i="4"/>
  <c r="G99" i="4"/>
  <c r="I350" i="1" s="1"/>
  <c r="H300" i="1"/>
  <c r="F76" i="4"/>
  <c r="G69" i="4"/>
  <c r="H152" i="1"/>
  <c r="J152" i="1" s="1"/>
  <c r="G43" i="4"/>
  <c r="I152" i="1" s="1"/>
  <c r="G64" i="4"/>
  <c r="I282" i="1" s="1"/>
  <c r="J282" i="1"/>
  <c r="F43" i="1"/>
  <c r="F69" i="1"/>
  <c r="F186" i="1"/>
  <c r="H53" i="1"/>
  <c r="F447" i="1"/>
  <c r="J176" i="1"/>
  <c r="J144" i="1"/>
  <c r="F274" i="1"/>
  <c r="G69" i="1"/>
  <c r="D8" i="2" s="1"/>
  <c r="H344" i="1"/>
  <c r="G96" i="4"/>
  <c r="H342" i="1"/>
  <c r="J350" i="1"/>
  <c r="H101" i="1"/>
  <c r="H97" i="1" s="1"/>
  <c r="E9" i="2" s="1"/>
  <c r="G29" i="4"/>
  <c r="I101" i="1" s="1"/>
  <c r="I97" i="1" s="1"/>
  <c r="F9" i="2" s="1"/>
  <c r="D32" i="4"/>
  <c r="D141" i="4" s="1"/>
  <c r="F101" i="1"/>
  <c r="G97" i="4"/>
  <c r="I346" i="1" s="1"/>
  <c r="H346" i="1"/>
  <c r="J346" i="1" s="1"/>
  <c r="J326" i="1"/>
  <c r="F322" i="1"/>
  <c r="J435" i="1"/>
  <c r="C25" i="2"/>
  <c r="G25" i="2" s="1"/>
  <c r="J381" i="1"/>
  <c r="F377" i="1"/>
  <c r="D56" i="4"/>
  <c r="G59" i="1"/>
  <c r="E25" i="4"/>
  <c r="F306" i="1"/>
  <c r="J174" i="1"/>
  <c r="I49" i="1"/>
  <c r="J49" i="1" s="1"/>
  <c r="G59" i="4"/>
  <c r="J262" i="1"/>
  <c r="F116" i="4"/>
  <c r="I383" i="1"/>
  <c r="F130" i="1"/>
  <c r="G451" i="1"/>
  <c r="G447" i="1" s="1"/>
  <c r="F83" i="4"/>
  <c r="G139" i="4"/>
  <c r="I409" i="1"/>
  <c r="I405" i="1" s="1"/>
  <c r="F23" i="2" s="1"/>
  <c r="G23" i="2" s="1"/>
  <c r="G300" i="1"/>
  <c r="E30" i="4"/>
  <c r="E62" i="4"/>
  <c r="F20" i="4"/>
  <c r="F25" i="4" s="1"/>
  <c r="H208" i="1"/>
  <c r="G264" i="1" l="1"/>
  <c r="F62" i="4"/>
  <c r="C12" i="2"/>
  <c r="E5" i="2"/>
  <c r="J11" i="1"/>
  <c r="G80" i="4"/>
  <c r="I57" i="1" s="1"/>
  <c r="H57" i="1"/>
  <c r="G116" i="1"/>
  <c r="F30" i="4"/>
  <c r="E32" i="4"/>
  <c r="C19" i="2"/>
  <c r="G296" i="1"/>
  <c r="D19" i="2" s="1"/>
  <c r="C15" i="2"/>
  <c r="J25" i="1"/>
  <c r="C6" i="2"/>
  <c r="H226" i="1"/>
  <c r="F123" i="4"/>
  <c r="G116" i="4"/>
  <c r="F97" i="1"/>
  <c r="J101" i="1"/>
  <c r="C10" i="2"/>
  <c r="G322" i="1"/>
  <c r="D20" i="2" s="1"/>
  <c r="J383" i="1"/>
  <c r="I344" i="1"/>
  <c r="J344" i="1" s="1"/>
  <c r="I342" i="1"/>
  <c r="J342" i="1" s="1"/>
  <c r="G82" i="4"/>
  <c r="I453" i="1" s="1"/>
  <c r="H453" i="1"/>
  <c r="J453" i="1" s="1"/>
  <c r="H210" i="1"/>
  <c r="H204" i="1" s="1"/>
  <c r="E11" i="2" s="1"/>
  <c r="G118" i="4"/>
  <c r="I210" i="1" s="1"/>
  <c r="I204" i="1" s="1"/>
  <c r="F11" i="2" s="1"/>
  <c r="J360" i="1"/>
  <c r="J409" i="1"/>
  <c r="F204" i="1"/>
  <c r="F41" i="4"/>
  <c r="E56" i="4"/>
  <c r="G146" i="1"/>
  <c r="C16" i="2"/>
  <c r="G16" i="2" s="1"/>
  <c r="J238" i="1"/>
  <c r="C21" i="2"/>
  <c r="H451" i="1"/>
  <c r="G83" i="4"/>
  <c r="I451" i="1" s="1"/>
  <c r="I447" i="1" s="1"/>
  <c r="J306" i="1"/>
  <c r="J186" i="1"/>
  <c r="C14" i="2"/>
  <c r="G14" i="2" s="1"/>
  <c r="F84" i="4"/>
  <c r="G43" i="1"/>
  <c r="D7" i="2" s="1"/>
  <c r="I53" i="1"/>
  <c r="J53" i="1" s="1"/>
  <c r="C18" i="2"/>
  <c r="C8" i="2"/>
  <c r="I300" i="1"/>
  <c r="I296" i="1" s="1"/>
  <c r="F19" i="2" s="1"/>
  <c r="G76" i="4"/>
  <c r="G278" i="1"/>
  <c r="F61" i="4"/>
  <c r="E66" i="4"/>
  <c r="J405" i="1"/>
  <c r="F14" i="4"/>
  <c r="H47" i="1"/>
  <c r="H43" i="1" s="1"/>
  <c r="E7" i="2" s="1"/>
  <c r="G10" i="4"/>
  <c r="J208" i="1"/>
  <c r="H77" i="1"/>
  <c r="G20" i="4"/>
  <c r="I77" i="1" s="1"/>
  <c r="I69" i="1" s="1"/>
  <c r="F8" i="2" s="1"/>
  <c r="J59" i="1"/>
  <c r="C20" i="2"/>
  <c r="C7" i="2"/>
  <c r="H391" i="1"/>
  <c r="H377" i="1" s="1"/>
  <c r="E21" i="2" s="1"/>
  <c r="G105" i="4"/>
  <c r="F113" i="4"/>
  <c r="I55" i="1"/>
  <c r="J55" i="1" s="1"/>
  <c r="H340" i="1"/>
  <c r="H322" i="1" s="1"/>
  <c r="E20" i="2" s="1"/>
  <c r="G94" i="4"/>
  <c r="F100" i="4"/>
  <c r="H306" i="1"/>
  <c r="H296" i="1" s="1"/>
  <c r="G72" i="4"/>
  <c r="I306" i="1" s="1"/>
  <c r="E19" i="2" l="1"/>
  <c r="J296" i="1"/>
  <c r="I340" i="1"/>
  <c r="I322" i="1" s="1"/>
  <c r="F20" i="2" s="1"/>
  <c r="G20" i="2" s="1"/>
  <c r="G100" i="4"/>
  <c r="H100" i="4" s="1"/>
  <c r="H146" i="1"/>
  <c r="H130" i="1" s="1"/>
  <c r="E12" i="2" s="1"/>
  <c r="F56" i="4"/>
  <c r="G41" i="4"/>
  <c r="C11" i="2"/>
  <c r="G11" i="2" s="1"/>
  <c r="J204" i="1"/>
  <c r="G112" i="1"/>
  <c r="G258" i="1"/>
  <c r="J210" i="1"/>
  <c r="J57" i="1"/>
  <c r="G62" i="4"/>
  <c r="I264" i="1" s="1"/>
  <c r="I258" i="1" s="1"/>
  <c r="F17" i="2" s="1"/>
  <c r="H264" i="1"/>
  <c r="H258" i="1" s="1"/>
  <c r="E17" i="2" s="1"/>
  <c r="G84" i="4"/>
  <c r="C9" i="2"/>
  <c r="G9" i="2" s="1"/>
  <c r="J97" i="1"/>
  <c r="I47" i="1"/>
  <c r="G14" i="4"/>
  <c r="H447" i="1"/>
  <c r="J447" i="1" s="1"/>
  <c r="J451" i="1"/>
  <c r="H116" i="1"/>
  <c r="H112" i="1" s="1"/>
  <c r="E10" i="2" s="1"/>
  <c r="G30" i="4"/>
  <c r="F32" i="4"/>
  <c r="F141" i="4" s="1"/>
  <c r="I391" i="1"/>
  <c r="I377" i="1" s="1"/>
  <c r="F21" i="2" s="1"/>
  <c r="G21" i="2" s="1"/>
  <c r="G113" i="4"/>
  <c r="J77" i="1"/>
  <c r="H69" i="1"/>
  <c r="H278" i="1"/>
  <c r="H274" i="1" s="1"/>
  <c r="E18" i="2" s="1"/>
  <c r="G61" i="4"/>
  <c r="F66" i="4"/>
  <c r="G25" i="4"/>
  <c r="I226" i="1"/>
  <c r="I222" i="1" s="1"/>
  <c r="F15" i="2" s="1"/>
  <c r="G123" i="4"/>
  <c r="J300" i="1"/>
  <c r="J340" i="1"/>
  <c r="G130" i="1"/>
  <c r="H222" i="1"/>
  <c r="G6" i="2"/>
  <c r="E141" i="4"/>
  <c r="G274" i="1"/>
  <c r="G19" i="2"/>
  <c r="G5" i="2"/>
  <c r="E5" i="3" s="1"/>
  <c r="E90" i="3" s="1"/>
  <c r="D18" i="2" l="1"/>
  <c r="I116" i="1"/>
  <c r="G32" i="4"/>
  <c r="J146" i="1"/>
  <c r="I278" i="1"/>
  <c r="G66" i="4"/>
  <c r="G141" i="4" s="1"/>
  <c r="J391" i="1"/>
  <c r="J377" i="1"/>
  <c r="J226" i="1"/>
  <c r="J264" i="1"/>
  <c r="D12" i="2"/>
  <c r="G12" i="2" s="1"/>
  <c r="J130" i="1"/>
  <c r="E8" i="2"/>
  <c r="J69" i="1"/>
  <c r="I146" i="1"/>
  <c r="I130" i="1" s="1"/>
  <c r="F12" i="2" s="1"/>
  <c r="G56" i="4"/>
  <c r="I43" i="1"/>
  <c r="J47" i="1"/>
  <c r="D10" i="2"/>
  <c r="E15" i="2"/>
  <c r="G15" i="2" s="1"/>
  <c r="J222" i="1"/>
  <c r="C27" i="2"/>
  <c r="J322" i="1"/>
  <c r="D17" i="2"/>
  <c r="G17" i="2" s="1"/>
  <c r="J258" i="1"/>
  <c r="D27" i="2" l="1"/>
  <c r="F7" i="2"/>
  <c r="J43" i="1"/>
  <c r="I112" i="1"/>
  <c r="J116" i="1"/>
  <c r="I274" i="1"/>
  <c r="J278" i="1"/>
  <c r="G8" i="2"/>
  <c r="E27" i="2"/>
  <c r="F10" i="2" l="1"/>
  <c r="G10" i="2" s="1"/>
  <c r="J112" i="1"/>
  <c r="G7" i="2"/>
  <c r="F18" i="2"/>
  <c r="G18" i="2" s="1"/>
  <c r="J274" i="1"/>
  <c r="F27" i="2" l="1"/>
  <c r="G27" i="2" s="1"/>
</calcChain>
</file>

<file path=xl/comments1.xml><?xml version="1.0" encoding="utf-8"?>
<comments xmlns="http://schemas.openxmlformats.org/spreadsheetml/2006/main">
  <authors>
    <author xml:space="preserve"> </author>
  </authors>
  <commentList>
    <comment ref="C81" authorId="0" shapeId="0">
      <text>
        <r>
          <rPr>
            <b/>
            <sz val="9"/>
            <color indexed="8"/>
            <rFont val="Tahoma"/>
            <family val="2"/>
          </rPr>
          <t xml:space="preserve">Kelly Braun:
</t>
        </r>
        <r>
          <rPr>
            <sz val="9"/>
            <color indexed="8"/>
            <rFont val="Tahoma"/>
            <family val="2"/>
          </rPr>
          <t>Adequação a Lei 13019.</t>
        </r>
      </text>
    </comment>
    <comment ref="C136" authorId="0" shapeId="0">
      <text>
        <r>
          <rPr>
            <sz val="9"/>
            <color indexed="8"/>
            <rFont val="Segoe UI"/>
            <family val="2"/>
          </rPr>
          <t>Custear as despesas correntes nos serviços de apoio, incluindo despesas com pessoal próprio, mantendo a estrutura da autarquia em funcionamento. Contratar assessoria nos serviços técnicos e planejamento para elaborar projetos de melhorias e ampliação dos sistemas. Manutenção da frota e dos sistemas informatizados.</t>
        </r>
      </text>
    </comment>
    <comment ref="C137" authorId="0" shapeId="0">
      <text>
        <r>
          <rPr>
            <sz val="9"/>
            <color indexed="8"/>
            <rFont val="Segoe UI"/>
            <family val="2"/>
          </rPr>
          <t>Manter o abastecimento contínuo, incluindo a captação, tratamento, reservação e distribuição da água. Reduzir as perdas de água através da manutenção constante das redes, providenciando o conserto dos vazamentos no menor tempo possível, recomposição de pavimentos.  Manutenção elétrica e telemetria manutenção dos poços, conserto de bombas e controle de qualidade da água através de análises químicas e biológicas, limpeza de reservatórios, instalação e substituição de hidrômetros e válvulas de redução de pressão (VRPs) e macro medidores. Reparos gerais na rede. Aumentar a produção e reserva de água melhorando sua distribuição através da ampliação substituição da rede de distribuição de água.</t>
        </r>
      </text>
    </comment>
    <comment ref="C138" authorId="0" shapeId="0">
      <text>
        <r>
          <rPr>
            <sz val="9"/>
            <color indexed="8"/>
            <rFont val="Segoe UI"/>
            <family val="2"/>
          </rPr>
          <t xml:space="preserve">Operar, monitorar, manter limpas as estações de tratamento de esgotos (ETEs); coletar e analisar as amostras de esgoto tratado, manter licenças ambientais atualizadas. Melhoria e ampliação do sistema de esgotamento sanitário presando atender os parâmetros de qualidade no lançamento das águas nos respectivos corpos hídricos. </t>
        </r>
      </text>
    </comment>
  </commentList>
</comments>
</file>

<file path=xl/sharedStrings.xml><?xml version="1.0" encoding="utf-8"?>
<sst xmlns="http://schemas.openxmlformats.org/spreadsheetml/2006/main" count="796" uniqueCount="345">
  <si>
    <t>MUNICÍPIO DE IVOTI</t>
  </si>
  <si>
    <t>ANEXO I - PROGRAMAS</t>
  </si>
  <si>
    <t>PROGRAMA:</t>
  </si>
  <si>
    <t>Ação Legislativa</t>
  </si>
  <si>
    <t>OBJETIVO:</t>
  </si>
  <si>
    <t>Pagamento dos subsídios dos vereadores com os respectivos encargos sociais. Contratação de assessoria jurídica, pagamento de diárias para eventuais deslocamentos, pagamento de despesas de transportes, viagens, taxa de inscrição em cursos e seminários, contratação de pessoa jurídica e pessoa física para serviços como publicações legais e institucionais, consertos de equipamentos, locação de softwares, provedor de internet, telefone, palestrantes, assinaturas de jornais, publicação de seus atos junto aos meios de comunicação disponíveis, aquisição de matriais de consumo, aquisição de equipamentos e materiais permanentes .</t>
  </si>
  <si>
    <t>Dados Financeiros (em R$ 1,00)</t>
  </si>
  <si>
    <t>TOTAL</t>
  </si>
  <si>
    <t>Total do Programa:</t>
  </si>
  <si>
    <t>TIPO</t>
  </si>
  <si>
    <t>Cód.</t>
  </si>
  <si>
    <t>AÇÕES</t>
  </si>
  <si>
    <t xml:space="preserve">TOTAL </t>
  </si>
  <si>
    <t>A</t>
  </si>
  <si>
    <t>REPASSE A ENTIDADES - CONVÊNIO CONSEPRO E OUTRAS ENTIDADES</t>
  </si>
  <si>
    <t>P</t>
  </si>
  <si>
    <t>VÍDEO MONITORAMENTO</t>
  </si>
  <si>
    <t>Garantir o pleno funcionamento das atividades de apoio administrativo de todos os órgãos da Administração Municipal. Buscar qualidade e efetividade do gasto público otimizando as tarefas executadas pelo aparato de apoio administrativo municipal.</t>
  </si>
  <si>
    <t>Reduzir gastos com serviços de telecomunicação promovendo uma modernização na infraestrutura das redes de comunição, além de melhorar a velocidade,  a segurança e a integridade dos dados e a capacidade de armazenamento; Adequar a estrutura da sede administrativa aos padrões de segurança a fim de proporcionar adequação á legislação vigente e evitar prejuízos aos cofres públicos em decorrência  de eventuais acidentes; Incentivar o aprimoramento dos serviços executados á população por meio da seleção de novos servidores e treinamento constante do quadro;</t>
  </si>
  <si>
    <t>IMPLANTAÇÃO PPCIs EDUCAÇÃO</t>
  </si>
  <si>
    <t xml:space="preserve">Buscar novas alternativas de produção, incentivar a formação de grupos de jovens agricultores e de grupos de Associações e Cooperativas. Colaborar ,e oportunizar por meio de capacitação do produtor,   com a melhoria das condições sócio econômicas do produtor rural. </t>
  </si>
  <si>
    <t>Incentivar o aumento de produção e diversificação, colaborar com a expansão dos mercados mundiais pelas empresas sediadas no Município, elevar o PIB e a arrecadação do Município para também melhorar o índice soioeconômico e a renda familiar.</t>
  </si>
  <si>
    <t>Manter e ampliar os atrativos turísticos do Município, incentivar e apoiar os eventos no Núcleo de Casas Enxaimel e realizar eventos anuias visando atrair turistas, investimentos e circulação econômica dos municípes.</t>
  </si>
  <si>
    <t>NÚCLEO DE CASAS ENXAIMEL</t>
  </si>
  <si>
    <t>Criar as condições imprescindíveis para garantir a educação básica de qualidade; Viabilizar o atendimento educacional de crianças; universalizar o ensino fundamental;Garantir condições físicas e de segurança para as escolas municipais; Assegurar equipamentos e material didático-pedagógico para as escolas Municipais; Melhorar a gestão dos recursos humanos das Escolas Municipais; Qualificar a gestão do sistema municipal de educação.</t>
  </si>
  <si>
    <t>Executar a política de Proteção Social Especial, por meio de convênios com entidades de atendimentos especializados e do núcleo de atendimento de inclusão, com atenção voltada á criança e ao adolescente e à pessoa portadora de deficiência ; Garantir atendimento educacional as pessoas portadoras de necessidades educativas especiais.</t>
  </si>
  <si>
    <t>Proporcionar aos educandos o oferecimento de merenda escolar de qualidade e assegurar a frequência dos educandos à escola promovendo transporte adequado.</t>
  </si>
  <si>
    <t>Implementar ações culturais como meio de democratizar o acesso de toda a sociedade aos bens culturais, de forma a incentivar a inclusão social e contribuir para a prevenção da violência. Ampliar a divulgação e o conhecimento dos bens culturais e históricos das diversas instituições culturais do Município, como museus, bibliotecas e casas de cultura.</t>
  </si>
  <si>
    <t>Ampliar os meios e práticas do esporte com fins educacionais nas escolas e em programas sociais. Modernizar a promoção e a gestão do esporte.</t>
  </si>
  <si>
    <t>Pavimentar, reformar e empreender ações que visem a melhoria das vias urbanas, contribuindo para a melhoria dos níveis de segurança e reduzindo os custos com restauração. Aumentar e modernizar a rede viária pertencente ao Município.</t>
  </si>
  <si>
    <t>Melhorar a iluminação pública, o tráfego e a segurança dos munícipes. Melhorar a eficiência do consumo de energia elétrica e combater o despedício, mediante a execução de projetos de melhoria das redes de iluminação pública. Melhorar o aspecto urbano e paisagístico da cidade. Manter em boas condiçoes de limpeza e conservação os espaços públicos e lazer e recreação para os munícipes e visitantes. Dar adequada coleta e destino aos resíduos sólidos em atendimento as exigências ambientais.</t>
  </si>
  <si>
    <t>Desenvolver ações de preservação do Meio Ambiente, por meio da divulgação de projetos, ampliar a participação da comunidade ivotiense com hábitos sustentáveis visando a implantação de empreendimentos comprometidos com a causa ambiental. Licenciar as atividades de impacto ambiental no Município. Reduzir o impacto ambiental e efetuar a recuperação do Meio Ambiente.</t>
  </si>
  <si>
    <t>Garantir ações de atenção básica à saúde da população. Desenvolver projetos e implementar atividades nas áreas de promoção, proteção, controle, acompanhamento e recuperação da saúde, por meio de serviços de saúde integrados com uma rede regionalizada e hierarquizada. Identificar, monitorar e prevenir doenças, agravos e fatores de risco que possam afetar a saúde humana.</t>
  </si>
  <si>
    <t>Habitação e Desenvolvimento Social</t>
  </si>
  <si>
    <t>Garantir o  atendimento às famílias de menor renda, com a construção de moradias, melhorias nas habitações, regularização fundiária, infra-estrutura, ações educativas de convívio social e de geração de renda.</t>
  </si>
  <si>
    <t>Manter as atividades da Autarquia buscando eficiência e qualidade na prestação dos serviços.</t>
  </si>
  <si>
    <t>Aumentar a produção e reserva de água melhorando sua distribuição; Buscar manter as redes e poços em funcionamento integral; Operar e manter adequadas as estações de tratamento de esgotos visando a qualidade no tratamento.</t>
  </si>
  <si>
    <t>Manter o pleno funcionamento do Regime Próprio de Previdência dos Estatutários.</t>
  </si>
  <si>
    <t>OE</t>
  </si>
  <si>
    <r>
      <rPr>
        <b/>
        <sz val="9"/>
        <rFont val="Arial"/>
        <family val="2"/>
      </rPr>
      <t xml:space="preserve">(*)  Tipo: </t>
    </r>
    <r>
      <rPr>
        <sz val="9"/>
        <rFont val="Arial"/>
        <family val="2"/>
      </rPr>
      <t xml:space="preserve"> P – Projeto       A - Atividade  OE – Operação Especial      NO – Não-orçamentária            </t>
    </r>
  </si>
  <si>
    <t>Encargos Especiais -Ações Não Integrantes do PPA</t>
  </si>
  <si>
    <t>PASEP E PRECATÓRIO</t>
  </si>
  <si>
    <t xml:space="preserve">ANEXO II - RESUMO DOS PROGRAMAS </t>
  </si>
  <si>
    <t>Código do Programa</t>
  </si>
  <si>
    <t>Descrição do Programa</t>
  </si>
  <si>
    <t>Ivoti Segura</t>
  </si>
  <si>
    <t>Supervisão e Coordenação Administrativa</t>
  </si>
  <si>
    <t>Gestão Pública Eficiente</t>
  </si>
  <si>
    <t>Valorização da Produção Rural</t>
  </si>
  <si>
    <t>Promoção do Crescimento</t>
  </si>
  <si>
    <t>Desenvolvimento do Turismo</t>
  </si>
  <si>
    <t>Desenvolvimento Educacional</t>
  </si>
  <si>
    <t>Proteção Social Especial</t>
  </si>
  <si>
    <t>Assistência ao Educando</t>
  </si>
  <si>
    <t>Desenvolvimento da Cultura</t>
  </si>
  <si>
    <t>Promoção do Desporto e Lazer</t>
  </si>
  <si>
    <t>Mobilidade Urbana</t>
  </si>
  <si>
    <t>Melhoria das Vias Urbanas</t>
  </si>
  <si>
    <t>Gestão Ambiental</t>
  </si>
  <si>
    <t>Saúde com Qualidade</t>
  </si>
  <si>
    <t>Proteção Social Básica</t>
  </si>
  <si>
    <t>Gestão dos Serviços de Água</t>
  </si>
  <si>
    <t>Manutenção dos Serviços de Água</t>
  </si>
  <si>
    <t>RPPS</t>
  </si>
  <si>
    <t>TOTAL GERAL DOS PROGRAMAS</t>
  </si>
  <si>
    <t>ANEXO III - CLASSIFICAÇÃO DOS PROGRAMAS  E AÇÕES POR FUNÇÃO E SUBFUNÇÃO DE GOVERNO</t>
  </si>
  <si>
    <t>Programa</t>
  </si>
  <si>
    <t>Função</t>
  </si>
  <si>
    <t>Subfunção</t>
  </si>
  <si>
    <t>Valor Global</t>
  </si>
  <si>
    <t>Manutenção das Atividades Legislativas</t>
  </si>
  <si>
    <t>Legislativa</t>
  </si>
  <si>
    <t>Repasse a Entidades - Convênio Consepro e outras Entidades</t>
  </si>
  <si>
    <t xml:space="preserve">Seguranca Publica  </t>
  </si>
  <si>
    <t xml:space="preserve">Policiamento </t>
  </si>
  <si>
    <t>Defesa Civil</t>
  </si>
  <si>
    <t>Vídeo Monitoramento</t>
  </si>
  <si>
    <t>Manutenção das Atividades do Gabinete</t>
  </si>
  <si>
    <t xml:space="preserve">Administracao           </t>
  </si>
  <si>
    <t>Administracao Geral</t>
  </si>
  <si>
    <t>Manutenção das Atividades da Secretaria de Administração</t>
  </si>
  <si>
    <t>Manutenção das Atividades da Secretaria de Desenvolvimento</t>
  </si>
  <si>
    <t>Manutenção das Atividades da Secretaria de Obras</t>
  </si>
  <si>
    <t xml:space="preserve">Urbanismo   </t>
  </si>
  <si>
    <t xml:space="preserve">Serviços Urbanos </t>
  </si>
  <si>
    <t>Manutenção das Atividades da Secretaria da Fazenda</t>
  </si>
  <si>
    <t xml:space="preserve">Administracao   </t>
  </si>
  <si>
    <t>Administracao Financeira</t>
  </si>
  <si>
    <t>Manutenção da Administração Tributária</t>
  </si>
  <si>
    <t>Administração de Receitas</t>
  </si>
  <si>
    <t>Implantação de Energia Fotovoltaica</t>
  </si>
  <si>
    <t>Tecnologia da Informação</t>
  </si>
  <si>
    <t>Realização de Concursos Públicos</t>
  </si>
  <si>
    <t>Implantação de PPCIs</t>
  </si>
  <si>
    <t>Educação</t>
  </si>
  <si>
    <t>Construção e Reforma dos Espaços Administrativos</t>
  </si>
  <si>
    <t>Programa de Fiscalização e Aumento de Arrecadação</t>
  </si>
  <si>
    <t>Gestão de Infraestrutura de TI</t>
  </si>
  <si>
    <t>Desenvolvimento Profissional Servidor</t>
  </si>
  <si>
    <t>Administração</t>
  </si>
  <si>
    <t>Formação de Recursos Humanos</t>
  </si>
  <si>
    <t>Apoio ao Desenvolvimento Rural</t>
  </si>
  <si>
    <t xml:space="preserve">Agricultura   </t>
  </si>
  <si>
    <t xml:space="preserve">Extensao Rural     </t>
  </si>
  <si>
    <t>Incentivo à Indústria</t>
  </si>
  <si>
    <t xml:space="preserve">Indústria </t>
  </si>
  <si>
    <t xml:space="preserve">Promocao Industrial     </t>
  </si>
  <si>
    <t xml:space="preserve">Comércio e Serviços  </t>
  </si>
  <si>
    <t>Aquisição de área para instalação de indústrias</t>
  </si>
  <si>
    <t>Núcleo de Casas Enxaimel</t>
  </si>
  <si>
    <t xml:space="preserve">Turismo    </t>
  </si>
  <si>
    <t>Calendário de Eventos</t>
  </si>
  <si>
    <t xml:space="preserve">Comércio e Serviços </t>
  </si>
  <si>
    <t>Manutenção das Atividades da Secretaria da Educação</t>
  </si>
  <si>
    <t>Educação Infantil MDE</t>
  </si>
  <si>
    <t>Educação Infantil</t>
  </si>
  <si>
    <t>Educação Infantil FUNDEB</t>
  </si>
  <si>
    <t>Educação Infantil- Salário Educação</t>
  </si>
  <si>
    <t>Educação Fiscal Ensino Fundamental</t>
  </si>
  <si>
    <t>Ensino Fundamental</t>
  </si>
  <si>
    <t>Ensino Fundamental MDE</t>
  </si>
  <si>
    <t>Ensino Fundamental FUNDEB</t>
  </si>
  <si>
    <t>Ensino Fundamental Salário Educação</t>
  </si>
  <si>
    <t>Atendimento Especializado NAI</t>
  </si>
  <si>
    <t>Educação Especial</t>
  </si>
  <si>
    <t>Convênio com Entidades de atendimento especializado</t>
  </si>
  <si>
    <t>Convênio de Apoio a Pessoa Portadora de Necessidades Especiais</t>
  </si>
  <si>
    <t xml:space="preserve">Assistencia Social   </t>
  </si>
  <si>
    <t>Serviços de Transporte Escolar</t>
  </si>
  <si>
    <t>Alimentação Escolar Ensino Fundamental</t>
  </si>
  <si>
    <t xml:space="preserve">Alimentacao e Nutricao  </t>
  </si>
  <si>
    <t>Alimentação Escolar Educação Infantil</t>
  </si>
  <si>
    <t>Manutenção do Departamento de Cultura</t>
  </si>
  <si>
    <t xml:space="preserve">Cultura </t>
  </si>
  <si>
    <t xml:space="preserve">Difusao Cultural  </t>
  </si>
  <si>
    <t>Patrimônio Histórico e Cultural</t>
  </si>
  <si>
    <t>Patrimônio Histórico, Artístico e Arqueológico</t>
  </si>
  <si>
    <t xml:space="preserve">Manutenção do Departamento de Desporto </t>
  </si>
  <si>
    <t xml:space="preserve">Desporto e Lazer       </t>
  </si>
  <si>
    <t xml:space="preserve">Desporto Comunitario  </t>
  </si>
  <si>
    <t>Pograma Lazer Unindo Gerações</t>
  </si>
  <si>
    <t xml:space="preserve">Servicos Urbanos    </t>
  </si>
  <si>
    <t>Pavimentação de Ruas</t>
  </si>
  <si>
    <t>Transporte</t>
  </si>
  <si>
    <t>Transporte Rodoviário</t>
  </si>
  <si>
    <t>Conservação e Abertura de Vias Urbanas e Rurais</t>
  </si>
  <si>
    <t>Melhorias e Manutenção da Iluminação Pública</t>
  </si>
  <si>
    <t xml:space="preserve">Urbanismo </t>
  </si>
  <si>
    <t>Melhoria no Serviço de Limpeza Pública</t>
  </si>
  <si>
    <t>Drenagem Urbana</t>
  </si>
  <si>
    <t>Manutenção das atividades da Secretaria do Meio Ambiente</t>
  </si>
  <si>
    <t xml:space="preserve">Preservacao e Conservacao Ambiental  </t>
  </si>
  <si>
    <t>Programa Consciência Ecológica/Educação Ambiental</t>
  </si>
  <si>
    <t>Gerenciamento de Resíduos</t>
  </si>
  <si>
    <t xml:space="preserve">Saneamento   </t>
  </si>
  <si>
    <t>Saneamento Básico Urbano</t>
  </si>
  <si>
    <t>Projetos Ambientais</t>
  </si>
  <si>
    <t>Proteção e Saúde Animal</t>
  </si>
  <si>
    <t>Defesa Sanitaria Animal</t>
  </si>
  <si>
    <t>Aquisição Área Interesse</t>
  </si>
  <si>
    <t>Manutenção das atividades da Secretaria da Saúde</t>
  </si>
  <si>
    <t>Saúde</t>
  </si>
  <si>
    <t>Administração Geral</t>
  </si>
  <si>
    <t>Vigilância Sanitária</t>
  </si>
  <si>
    <t>Vigilância Epidemológica</t>
  </si>
  <si>
    <t>Contratação de Serviços Especializados em Saúde</t>
  </si>
  <si>
    <t>Assistência Hospitalar e Ambulatorial</t>
  </si>
  <si>
    <t>Construção/ampliação e/ou reforma de uniadades de saúde</t>
  </si>
  <si>
    <t>Atenção Básica</t>
  </si>
  <si>
    <t>Convênios com hospitais</t>
  </si>
  <si>
    <t>Distribuição Gratuita Medicamentos e Insumos</t>
  </si>
  <si>
    <t>Fundo da Criança e do Adolescente</t>
  </si>
  <si>
    <t xml:space="preserve">Assistencia a Crianca e ao Adolescente   </t>
  </si>
  <si>
    <t>Atenção à Família</t>
  </si>
  <si>
    <t xml:space="preserve">Assistencia Comunitaria      </t>
  </si>
  <si>
    <t>Conselho Tutelar</t>
  </si>
  <si>
    <t>Centro de Referência da Mulher</t>
  </si>
  <si>
    <t>Centro do Idoso</t>
  </si>
  <si>
    <t>Assistência ao Idoso</t>
  </si>
  <si>
    <t>Regularização Fundiária</t>
  </si>
  <si>
    <t xml:space="preserve">Habitação </t>
  </si>
  <si>
    <t>Habitação Urbana</t>
  </si>
  <si>
    <t>Manutenção das atividades de apoio da Autarquia</t>
  </si>
  <si>
    <t xml:space="preserve">Saneamento Basico Urbano   </t>
  </si>
  <si>
    <t>Operação e Manutenção do sistema de água potável</t>
  </si>
  <si>
    <t>Operação e Manutenção do sistema de esgotamento sanitário</t>
  </si>
  <si>
    <t>Apoio Administrativo do RPPS</t>
  </si>
  <si>
    <t>Previdência Social</t>
  </si>
  <si>
    <t>Manutenção das Atividades do RPPS</t>
  </si>
  <si>
    <t>Previdência do Regime Estatutário</t>
  </si>
  <si>
    <t>Soma / Total   ==========================================================================================&gt;</t>
  </si>
  <si>
    <t>ANEXO IV - PROJETO E ATIVIDADE POR ÓRGÃO</t>
  </si>
  <si>
    <t>Cód</t>
  </si>
  <si>
    <t>Descrição do Projeto ou Atividade</t>
  </si>
  <si>
    <t xml:space="preserve">MANUTENÇÃO DAS ATIVIDADES LEGISLATIVAS </t>
  </si>
  <si>
    <t>TOTAL:</t>
  </si>
  <si>
    <t>MANUTENÇÃO DAS ATIVIDADES DO GABINETE</t>
  </si>
  <si>
    <t xml:space="preserve">MANUTENÇÃO DAS ATIVIDADES DA SECRETARIA DA ADMINISTRAÇÃO </t>
  </si>
  <si>
    <t>REALIZAÇÃO DE CONCURSOS PÚBLICOS</t>
  </si>
  <si>
    <t>IMPLANTAÇÃO DE PPCIs</t>
  </si>
  <si>
    <t>CONSTRUÇÃO E REFORMA DOS ESPAÇOS ADMINISTRATIVOS</t>
  </si>
  <si>
    <t>IMPLANTAÇÃO DE ENERGIA FOTOVOLTAICA</t>
  </si>
  <si>
    <t>GESTÃO DE INFRAESTRUTURA DE TI</t>
  </si>
  <si>
    <t>DESENVOLVIMENTO PROFISSIONAL SERVIDOR</t>
  </si>
  <si>
    <t>MANUTENÇÃO DAS ATIVIDADES DA SECRETARIA DE DESENVOLVIMENTO</t>
  </si>
  <si>
    <t xml:space="preserve"> APOIO AO DESENVOLVIMENTO RURAL </t>
  </si>
  <si>
    <t>INCENTIVO A INDÚSTRIA</t>
  </si>
  <si>
    <t xml:space="preserve">CALENDÁRIO DE EVENTOS </t>
  </si>
  <si>
    <t>AQUISIÇÃO DE ÁREA PARA INSTALAÇÃO DE INDÚSTRIAS</t>
  </si>
  <si>
    <t xml:space="preserve">MANUTENÇÃO DAS ATIVIDADES DA SECRETARIA EDUCAÇÃO </t>
  </si>
  <si>
    <t>MANUTENÇÃO DAS ATIVIDADES DA SECRETARIA EDUCAÇÃO FUNDEB</t>
  </si>
  <si>
    <t>ATENDIMENTO ESPECIALIZADO NAI</t>
  </si>
  <si>
    <t>EDUCAÇÃO FISCAL ENSINO FUNDAMENTAL</t>
  </si>
  <si>
    <t xml:space="preserve">CONVÊNIO COM ENTIDADES DE ATENDIMENTOS ESPECIALIZADOS </t>
  </si>
  <si>
    <t>EDUCAÇÃO INFANTIL CRECHE-MDE</t>
  </si>
  <si>
    <t>EDUCAÇÃO INFANTIL CRECHE-FUNDEB</t>
  </si>
  <si>
    <t>EDUCAÇÃO INFANTIL PRE ESCOLA-MDE</t>
  </si>
  <si>
    <t>EDUCAÇÃO INFANTIL PRE ESCOLA-FUNDEB</t>
  </si>
  <si>
    <t>EDUCAÇÃO INFANTIL-SALÁRIO EDUCAÇÃO</t>
  </si>
  <si>
    <t>ENSINO FUNDAMENTAL-MDE</t>
  </si>
  <si>
    <t>ENSINO FUNDAMENTAL-FUNDEB</t>
  </si>
  <si>
    <t>ENSINO FUNDAMENTAL-SALÁRIO EDUCAÇÃO</t>
  </si>
  <si>
    <t xml:space="preserve">SERVIÇOS DE TRANSPORTE ESCOLAR </t>
  </si>
  <si>
    <t>ALIMENTAÇÃO ESCOLAR ENSINO FUNDAMENTAL</t>
  </si>
  <si>
    <t>MANUTENÇÃO DO DEPARTAMENTO DE CULTURA</t>
  </si>
  <si>
    <t>MANUTENÇÃO DO DEPARTAMENTO DE DESPORTO</t>
  </si>
  <si>
    <t>ALIMENTAÇÃO ESCOLAR EDUCAÇÃO INFANTIL</t>
  </si>
  <si>
    <t>PATRIMÔNIO HISTÓRICO E CULTURAL</t>
  </si>
  <si>
    <t>PROGRAMA LAZER UNINDO GERAÇÕES + PROJETOS ESPECIAIS</t>
  </si>
  <si>
    <t>IMPLANTAÇÃO DE PCCIS INFANTIL</t>
  </si>
  <si>
    <t>IMPLANTAÇÃO DE PCCIS FUNDAMENTAL</t>
  </si>
  <si>
    <t>IMPLANTAÇÃO DE PCCIS SEMEC</t>
  </si>
  <si>
    <t xml:space="preserve">MANUTENÇÃO DAS ATIVIDADES DA SECRETARIA DE OBRAS </t>
  </si>
  <si>
    <t>PAVIMENTAÇÃO DE RUAS</t>
  </si>
  <si>
    <t xml:space="preserve">MELHORIAS E MANUTENÇÃO DA ILUMINAÇÃO PÚBLICA </t>
  </si>
  <si>
    <t xml:space="preserve">CONSERVAÇÃO E ABERTURA DE VIAS URBANAS E RURAIS </t>
  </si>
  <si>
    <t xml:space="preserve">MELHORIA NO SERVIÇO DE LIMPEZA PÚBLICA </t>
  </si>
  <si>
    <t xml:space="preserve">DRENAGEM URBANA </t>
  </si>
  <si>
    <t>MANUTENÇÃO DAS ATIVIDADES DA SECRETARIA DE MEIO AMBIENTE</t>
  </si>
  <si>
    <t>PROGRAMA CONSCIÊNCIA ECOLÓGICA/EDUCAÇÃO AMBIENTAL</t>
  </si>
  <si>
    <t xml:space="preserve">GERENCIAMENTO DE RESÍDUOS </t>
  </si>
  <si>
    <t>PROJETOS AMBIENTAIS</t>
  </si>
  <si>
    <t>PROTEÇÃO E SAÚDE ANIMAL</t>
  </si>
  <si>
    <t>AQUISIÇÃO ÁREA INTERESSE</t>
  </si>
  <si>
    <t xml:space="preserve">MANUTENÇÃO DAS ATIVIDADES DA SECRETARIA DA FAZENDA </t>
  </si>
  <si>
    <t>MANUTENÇÃO DA ADMINISTRAÇÃO TRIBUTÁRIA</t>
  </si>
  <si>
    <t>APOIO Á FISCALIZAÇÃO E AO INCREMENTO DA ARRECADAÇÃO</t>
  </si>
  <si>
    <t xml:space="preserve">MANUTENÇÃO DAS ATIVIDADES DA SECRETARIA DA SAÚDE </t>
  </si>
  <si>
    <t xml:space="preserve">VIGILÂNCIA EM SAÚDE </t>
  </si>
  <si>
    <t xml:space="preserve">CONTRATAÇÃO DE SERVIÇOS ESPECIALIZADOS EM SAÚDE </t>
  </si>
  <si>
    <t xml:space="preserve">CONSTRUÇÃO, AMPLIAÇÃO E/OU REFORMA DE UNIDADES DE SAÚDE </t>
  </si>
  <si>
    <t xml:space="preserve">CONVÊNIOS COM HOSPITAIS </t>
  </si>
  <si>
    <t>DISTRIBUIÇÃO GRATUITA MEDICAMENTOS E INSUMOS</t>
  </si>
  <si>
    <t>FUNDO DA CRIANÇA E DO ADOLESCENTE</t>
  </si>
  <si>
    <t>ATENÇÃO A FAMÍLIA</t>
  </si>
  <si>
    <t>CONSELHO TUTELAR</t>
  </si>
  <si>
    <t xml:space="preserve">CONVÊNIO DE APOIO A PESSOA PORTADORA DE NECESSIDADES ESPECIAIS </t>
  </si>
  <si>
    <t>CENTRO DE REFERÊNCIA DA MULHER</t>
  </si>
  <si>
    <t>CENTRO DO IDOSO</t>
  </si>
  <si>
    <t xml:space="preserve">NÚCLEO DE CASAS ENXAIMEL </t>
  </si>
  <si>
    <t>TOTAL GERAL</t>
  </si>
  <si>
    <t>RESERVA CONTINGÊNCIA</t>
  </si>
  <si>
    <t>APOIO ADMINISTRATIVO DO RPPS</t>
  </si>
  <si>
    <t>PAGAMENTO BENEFÍCIOS PREVIDENCIÁRIOS RPPS</t>
  </si>
  <si>
    <t>ENCARGOS ESPECIAIS DE RESPONSABILIDADE DO RPPS</t>
  </si>
  <si>
    <t>RESERVA DE CONTINGENCIA RPPS</t>
  </si>
  <si>
    <t>MANUTENÇÃO DAS ATIVIDIDADES DE APOIO AUTARQUIA</t>
  </si>
  <si>
    <t>OPERAÇÃO E MANUTENÇÃO DO SISTEMA DE AGUA POTÁVEL</t>
  </si>
  <si>
    <t>OPERAÇÃO E MANUTENÇÃO DO SISTEMA DE ESGOTAMENTO SANITÁRIO</t>
  </si>
  <si>
    <t>MANUTENÇÃO DO CONTROLE INTERNO</t>
  </si>
  <si>
    <t>ERER - EDUCAÇÃO PARA AS RELAÇÕES ÉTNICO-RACIAIS</t>
  </si>
  <si>
    <t>ERER-Educação para as Relações Étnico-Raciais</t>
  </si>
  <si>
    <t>Controle Interno</t>
  </si>
  <si>
    <t>Manutenção do Controle Interno</t>
  </si>
  <si>
    <t>Atividadde/Ação/Programa</t>
  </si>
  <si>
    <t>PLANO PLURIANUAL 2026/2029</t>
  </si>
  <si>
    <t>MANUTENÇÃO DAS ATIVIDADES LEGISLATIVAS</t>
  </si>
  <si>
    <t>PPA 2026/2029</t>
  </si>
  <si>
    <t>RESERVA DE CONTINGÊNCIA</t>
  </si>
  <si>
    <t>RESERVA DE CONTINGÊNCIA DO RPPS</t>
  </si>
  <si>
    <t>AMORTIZAÇÃO DO PASSIVO ATUARIAL - RPPS</t>
  </si>
  <si>
    <t>ASSITÊNCIA SOCIAL</t>
  </si>
  <si>
    <t>FUNDO DA CRIANÇA E ADOLESCENTE</t>
  </si>
  <si>
    <t xml:space="preserve">ATENÇÃO À FAMILÍA </t>
  </si>
  <si>
    <t>CENTRO DE REFEERÊNCIA DA MULHER</t>
  </si>
  <si>
    <t xml:space="preserve">Assistencia ao Portador de Deficiência </t>
  </si>
  <si>
    <t>15% em ASPS</t>
  </si>
  <si>
    <t>TOTAL PROGRAMAS CUSTEADOS COM ASPS:</t>
  </si>
  <si>
    <t>MANUTENÇÃO DAS ATIVIDADES DA SECRETARIA DE SAÚDE</t>
  </si>
  <si>
    <t>CONTRATAÇÃO DE SERVIÇOS ESPECIALIZADOS EM SAÚDE</t>
  </si>
  <si>
    <t>CONSTRUÇÃO, AMPLIAÇÃO E/OU REFORMA DE UNIDADES DE SAÚDE</t>
  </si>
  <si>
    <t>CONVÊNIOS COM HOSPITAIS</t>
  </si>
  <si>
    <t>DISTRIBUIÇÃO GRATUITA DE MEDICAMENTOS E INSUMOS</t>
  </si>
  <si>
    <t>ADUCAÇÃO INFANTIL SALÁRIO-EDUCAÇÃO</t>
  </si>
  <si>
    <t>ENSINO FUNDAMENTAL - MDE</t>
  </si>
  <si>
    <t>ENSINO FUNDAMENTAL - FUNDEB</t>
  </si>
  <si>
    <t>ENSINO FUNDAMENTAL - SALÁRIO EDUCAÇÃO</t>
  </si>
  <si>
    <t>PROGRAMA DE FISCALIZAÇÃO E AUMENTO DE ARRECADAÇÃO</t>
  </si>
  <si>
    <t>MANUTENÇÃO DO CONSELHO DA SAÚDE</t>
  </si>
  <si>
    <t>MANUTENÇÃO DO CEAMI E PRAÇA AMBIENTAL</t>
  </si>
  <si>
    <t>CÂMARA DE VEREADORES</t>
  </si>
  <si>
    <t>GABINETE</t>
  </si>
  <si>
    <t>SECRETARIA DE ADMINISTRAÇÃO</t>
  </si>
  <si>
    <t>SECRETARIA DE DESENVOLVIMENTO</t>
  </si>
  <si>
    <t xml:space="preserve">SECRETARIA DE EDUCAÇÃO </t>
  </si>
  <si>
    <t>SECRETARIA DE OBRAS</t>
  </si>
  <si>
    <t>SECRETARIA DE MEIO AMBIENTE</t>
  </si>
  <si>
    <t>SECRETARIA DA FAZENDA</t>
  </si>
  <si>
    <t>SECRETARIA DA SAÚDE</t>
  </si>
  <si>
    <t>SECRETARIA DASSISTÊNCIA SOCIAL</t>
  </si>
  <si>
    <t>CONSTRUÇÃO E/OU REFORMA ESPAÇOS DE ASSIST SOCIAL</t>
  </si>
  <si>
    <t>MANUTENÇÃO DE ATIVIDADES DO DEPARAMENTO DE TURISMO</t>
  </si>
  <si>
    <t>PROGRAMA PRIMEIRA INFÂNCIA - PIM</t>
  </si>
  <si>
    <t xml:space="preserve">CONSTRUÇÃO E REVITALIZAÇÃO DE PRAÇAS E LOGRADOUROS PÚBLICOS </t>
  </si>
  <si>
    <t xml:space="preserve">MANUTENÇÃO DA ASSISTÊNCIA SOCIAL </t>
  </si>
  <si>
    <t>POLÍTICAS DE HABITAÇÃO E REGULARIZAÇÃO FUNDIÁRIA</t>
  </si>
  <si>
    <t>Apoiar e fortalecer as famílias e sujeitos em situação de vulnerabilidade social, a fim de garantir os direitos fundamentais do indivíduo e o restabelecimento da convivência familiar e comunitária por meio de um conjunto de ações, serviços e benefícios. Gestao e manutenção do cemitério municipal e capela mortuária. Gestão do cadastro único, bolsa família e transferência de renda.</t>
  </si>
  <si>
    <t>PRÁTICAS INTEGRATIVAS E COMPLEMENTARES</t>
  </si>
  <si>
    <t>NUMESC - NÚCLEO MUNICIPAL EDUCAÇÃO E SAÚDE COLETIVA</t>
  </si>
  <si>
    <t>PROGRAMA SAÚDE NA ESCOLA</t>
  </si>
  <si>
    <t>EQUIPE MULTIPROFISSIONAL NA SAÚDE MENTAL E CAPS</t>
  </si>
  <si>
    <t>DEFESA CIVIL/ GESTÃO DE RISCO E DESASTRE</t>
  </si>
  <si>
    <t xml:space="preserve">Estabelecer parcerias com as demais Entidades a fim de ampliar a segurança pública, dar atendimento e suporte a desastres ambientais e acidentes extraordinários, como deslizamentos, incêndios e enchentes, através de projetos e obras preventivas em defesa civil, de operações e manutenção das redes de monitoramento e alerta, de desassoreamento de arroios na região da bacia do Arroio Feitoria, de estudos, de projetos e consultorias para a gestão de riscos e desastres, de avaliação de riscos de desastres e mapeamento de áreas de risco, planejamento operacional e de contingência, operação e manutenção da rede de monitoramento e alerta, de ampliação, modernização e melhoria da rede monitoramento e alerta, do aparelhamento da Defesa Civil com equipamentos de proteção individual (EPI) necessários para atuação preventiva e de resposta em situações de emergência, equipamentos de deslocamento, comunicação, apoio e/ou socorro, ações de socorro e assistência humanitária, da recuperação de áreas degradadas. </t>
  </si>
  <si>
    <t>Defesa Civil/ GESTÃO DE RISCO E DESASTRE</t>
  </si>
  <si>
    <t xml:space="preserve">APOIO AO DESENVOLVIMENTO RURAL </t>
  </si>
  <si>
    <t>Construção e Revitalização de Praças e Logradouros Públicos</t>
  </si>
  <si>
    <t>Manutenção do CEAMI  e praça ambiental</t>
  </si>
  <si>
    <t>SECRETARIA DE TURISMO, DESPORTO E CULTURA</t>
  </si>
  <si>
    <t>AUTARQUIA</t>
  </si>
  <si>
    <t>Manutenção de Atividades do Departamento de Turismo</t>
  </si>
  <si>
    <t>ESTRATÉGIA DE SAÚDE DA FAMÍLIA</t>
  </si>
  <si>
    <t>Manutenção do Conselho da Saúde</t>
  </si>
  <si>
    <t>Práticas integrativas e Complementares</t>
  </si>
  <si>
    <t>NUMESC- Núcleo Municipal Educação e saúde coletiva</t>
  </si>
  <si>
    <t>Programa Saúde na Escola</t>
  </si>
  <si>
    <t>Equipe Miltiprofissional na Saúde mental e CAPS</t>
  </si>
  <si>
    <t>Estratégia de Saúde da Família</t>
  </si>
  <si>
    <t>Suporte Profilático e Terapêutico</t>
  </si>
  <si>
    <t>Programa Primeira Infância- PIM</t>
  </si>
  <si>
    <t>MANUTENÇÃO DA ASSISTÊNCIA SOCIAL</t>
  </si>
  <si>
    <t>CONSTRUÇÃO E/OU REFORMA DE ESPAÇOS DA ASSISTÊNCIA SOCIAL</t>
  </si>
  <si>
    <t>Manutenção da Assistência Social</t>
  </si>
  <si>
    <t>Cosntrução/ reforma dos Espaços da Assitência Social</t>
  </si>
  <si>
    <t>CENTRO POLIESPORTIVO</t>
  </si>
  <si>
    <t>Centro Poliesportivo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</si>
</sst>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R$&quot;\ * #,##0.00_-;\-&quot;R$&quot;\ * #,##0.00_-;_-&quot;R$&quot;\ * &quot;-&quot;??_-;_-@_-"/>
    <numFmt numFmtId="43" formatCode="_-* #,##0.00_-;\-* #,##0.00_-;_-* &quot;-&quot;??_-;_-@_-"/>
    <numFmt numFmtId="164" formatCode="_-&quot;R$ &quot;* #,##0.00_-;&quot;-R$ &quot;* #,##0.00_-;_-&quot;R$ &quot;* \-??_-;_-@_-"/>
    <numFmt numFmtId="165" formatCode="_-* #,##0.00_-;\-* #,##0.00_-;_-* \-??_-;_-@_-"/>
    <numFmt numFmtId="166" formatCode="0000"/>
    <numFmt numFmtId="167" formatCode="_-[$R$-416]* #,##0.00_-;\-[$R$-416]* #,##0.00_-;_-[$R$-416]* \-??_-;_-@_-"/>
    <numFmt numFmtId="168" formatCode="_-&quot;R$&quot;* #,##0.00_-;&quot;-R$&quot;* #,##0.00_-;_-&quot;R$&quot;* \-??_-;_-@_-"/>
    <numFmt numFmtId="169" formatCode="_-&quot;R$ &quot;* #,##0.0000_-;&quot;-R$ &quot;* #,##0.0000_-;_-&quot;R$ &quot;* \-??_-;_-@_-"/>
    <numFmt numFmtId="170" formatCode="&quot;R$&quot;\ #,##0.00"/>
  </numFmts>
  <fonts count="19" x14ac:knownFonts="1">
    <font>
      <sz val="10"/>
      <name val="Arial"/>
      <family val="2"/>
    </font>
    <font>
      <sz val="10"/>
      <name val="Arial"/>
    </font>
    <font>
      <b/>
      <sz val="10"/>
      <name val="Arial"/>
      <family val="2"/>
    </font>
    <font>
      <b/>
      <sz val="10"/>
      <name val="Calibri"/>
      <family val="2"/>
    </font>
    <font>
      <sz val="10"/>
      <name val="Calibri"/>
      <family val="2"/>
    </font>
    <font>
      <b/>
      <sz val="10"/>
      <color indexed="8"/>
      <name val="Arial"/>
      <family val="2"/>
    </font>
    <font>
      <b/>
      <sz val="9"/>
      <name val="Arial"/>
      <family val="2"/>
    </font>
    <font>
      <sz val="9"/>
      <name val="Arial"/>
      <family val="2"/>
    </font>
    <font>
      <sz val="10"/>
      <color indexed="8"/>
      <name val="Arial"/>
      <family val="2"/>
    </font>
    <font>
      <b/>
      <sz val="8"/>
      <name val="Arial"/>
      <family val="2"/>
    </font>
    <font>
      <b/>
      <sz val="12"/>
      <name val="Arial"/>
      <family val="2"/>
    </font>
    <font>
      <b/>
      <sz val="14"/>
      <name val="Arial"/>
      <family val="2"/>
    </font>
    <font>
      <sz val="11"/>
      <color indexed="8"/>
      <name val="Calibri"/>
      <family val="2"/>
    </font>
    <font>
      <b/>
      <sz val="11"/>
      <color indexed="8"/>
      <name val="Calibri"/>
      <family val="2"/>
    </font>
    <font>
      <sz val="10"/>
      <color indexed="10"/>
      <name val="Arial"/>
      <family val="2"/>
    </font>
    <font>
      <b/>
      <sz val="9"/>
      <color indexed="8"/>
      <name val="Tahoma"/>
      <family val="2"/>
    </font>
    <font>
      <sz val="9"/>
      <color indexed="8"/>
      <name val="Tahoma"/>
      <family val="2"/>
    </font>
    <font>
      <sz val="9"/>
      <color indexed="8"/>
      <name val="Segoe UI"/>
      <family val="2"/>
    </font>
    <font>
      <sz val="10"/>
      <name val="Arial"/>
      <family val="2"/>
    </font>
  </fonts>
  <fills count="9">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theme="0"/>
        <bgColor indexed="34"/>
      </patternFill>
    </fill>
    <fill>
      <patternFill patternType="solid">
        <fgColor theme="0" tint="-0.249977111117893"/>
        <bgColor indexed="64"/>
      </patternFill>
    </fill>
    <fill>
      <patternFill patternType="solid">
        <fgColor theme="0" tint="-0.249977111117893"/>
        <bgColor indexed="34"/>
      </patternFill>
    </fill>
    <fill>
      <patternFill patternType="solid">
        <fgColor theme="0" tint="-0.249977111117893"/>
        <bgColor indexed="31"/>
      </patternFill>
    </fill>
    <fill>
      <patternFill patternType="solid">
        <fgColor theme="0" tint="-0.14999847407452621"/>
        <bgColor indexed="22"/>
      </patternFill>
    </fill>
  </fills>
  <borders count="99">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bottom style="thin">
        <color indexed="8"/>
      </bottom>
      <diagonal/>
    </border>
    <border>
      <left style="medium">
        <color indexed="8"/>
      </left>
      <right/>
      <top/>
      <bottom/>
      <diagonal/>
    </border>
    <border>
      <left/>
      <right/>
      <top style="thin">
        <color indexed="8"/>
      </top>
      <bottom/>
      <diagonal/>
    </border>
    <border>
      <left/>
      <right style="medium">
        <color indexed="8"/>
      </right>
      <top/>
      <bottom/>
      <diagonal/>
    </border>
    <border>
      <left style="thin">
        <color indexed="8"/>
      </left>
      <right style="thin">
        <color indexed="8"/>
      </right>
      <top/>
      <bottom/>
      <diagonal/>
    </border>
    <border>
      <left/>
      <right/>
      <top style="medium">
        <color indexed="8"/>
      </top>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bottom/>
      <diagonal/>
    </border>
    <border>
      <left/>
      <right style="medium">
        <color indexed="64"/>
      </right>
      <top style="thin">
        <color indexed="8"/>
      </top>
      <bottom style="thin">
        <color indexed="8"/>
      </bottom>
      <diagonal/>
    </border>
    <border>
      <left/>
      <right style="medium">
        <color indexed="64"/>
      </right>
      <top/>
      <bottom style="thin">
        <color indexed="8"/>
      </bottom>
      <diagonal/>
    </border>
    <border>
      <left/>
      <right style="medium">
        <color indexed="64"/>
      </right>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medium">
        <color indexed="8"/>
      </top>
      <bottom style="medium">
        <color indexed="8"/>
      </bottom>
      <diagonal/>
    </border>
    <border>
      <left style="medium">
        <color indexed="8"/>
      </left>
      <right style="thin">
        <color indexed="8"/>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thin">
        <color indexed="8"/>
      </left>
      <right/>
      <top/>
      <bottom/>
      <diagonal/>
    </border>
    <border>
      <left style="medium">
        <color indexed="64"/>
      </left>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thin">
        <color indexed="8"/>
      </top>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right style="medium">
        <color indexed="64"/>
      </right>
      <top style="medium">
        <color indexed="64"/>
      </top>
      <bottom style="medium">
        <color indexed="8"/>
      </bottom>
      <diagonal/>
    </border>
    <border>
      <left/>
      <right style="medium">
        <color indexed="64"/>
      </right>
      <top style="thin">
        <color indexed="8"/>
      </top>
      <bottom style="medium">
        <color indexed="64"/>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diagonal/>
    </border>
    <border>
      <left/>
      <right style="medium">
        <color indexed="64"/>
      </right>
      <top style="medium">
        <color indexed="8"/>
      </top>
      <bottom style="medium">
        <color indexed="8"/>
      </bottom>
      <diagonal/>
    </border>
    <border>
      <left style="medium">
        <color indexed="64"/>
      </left>
      <right style="thin">
        <color indexed="64"/>
      </right>
      <top style="thin">
        <color indexed="64"/>
      </top>
      <bottom style="thin">
        <color indexed="64"/>
      </bottom>
      <diagonal/>
    </border>
    <border>
      <left style="medium">
        <color indexed="8"/>
      </left>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s>
  <cellStyleXfs count="8">
    <xf numFmtId="0" fontId="0" fillId="0" borderId="0"/>
    <xf numFmtId="44" fontId="1"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8" fillId="0" borderId="0"/>
    <xf numFmtId="165" fontId="18" fillId="0" borderId="0" applyFont="0" applyFill="0" applyBorder="0" applyAlignment="0" applyProtection="0"/>
    <xf numFmtId="165" fontId="18" fillId="0" borderId="0" applyFont="0" applyFill="0" applyBorder="0" applyAlignment="0" applyProtection="0"/>
    <xf numFmtId="43" fontId="1" fillId="0" borderId="0" applyFill="0" applyBorder="0" applyAlignment="0" applyProtection="0"/>
  </cellStyleXfs>
  <cellXfs count="277">
    <xf numFmtId="0" fontId="0" fillId="0" borderId="0" xfId="0"/>
    <xf numFmtId="0" fontId="18" fillId="0" borderId="0" xfId="4"/>
    <xf numFmtId="3" fontId="3" fillId="0" borderId="0" xfId="4" applyNumberFormat="1" applyFont="1" applyAlignment="1">
      <alignment horizontal="left" vertical="center" wrapText="1"/>
    </xf>
    <xf numFmtId="3" fontId="3" fillId="2" borderId="1" xfId="4" applyNumberFormat="1" applyFont="1" applyFill="1" applyBorder="1" applyAlignment="1">
      <alignment horizontal="left" vertical="center" wrapText="1"/>
    </xf>
    <xf numFmtId="0" fontId="2" fillId="0" borderId="2" xfId="4" applyFont="1" applyBorder="1" applyAlignment="1">
      <alignment horizontal="center"/>
    </xf>
    <xf numFmtId="3" fontId="3" fillId="2" borderId="3" xfId="4" applyNumberFormat="1" applyFont="1" applyFill="1" applyBorder="1" applyAlignment="1">
      <alignment horizontal="center"/>
    </xf>
    <xf numFmtId="3" fontId="3" fillId="0" borderId="4" xfId="4" applyNumberFormat="1" applyFont="1" applyBorder="1" applyAlignment="1">
      <alignment horizontal="left" vertical="center" wrapText="1"/>
    </xf>
    <xf numFmtId="3" fontId="3" fillId="0" borderId="1" xfId="4" applyNumberFormat="1" applyFont="1" applyBorder="1" applyAlignment="1">
      <alignment horizontal="left" vertical="center" wrapText="1"/>
    </xf>
    <xf numFmtId="3" fontId="4" fillId="2" borderId="2" xfId="4" applyNumberFormat="1" applyFont="1" applyFill="1" applyBorder="1"/>
    <xf numFmtId="3" fontId="4" fillId="2" borderId="5" xfId="4" applyNumberFormat="1" applyFont="1" applyFill="1" applyBorder="1"/>
    <xf numFmtId="3" fontId="4" fillId="0" borderId="6" xfId="4" applyNumberFormat="1" applyFont="1" applyBorder="1"/>
    <xf numFmtId="3" fontId="4" fillId="0" borderId="7" xfId="4" applyNumberFormat="1" applyFont="1" applyBorder="1"/>
    <xf numFmtId="3" fontId="4" fillId="0" borderId="0" xfId="4" applyNumberFormat="1" applyFont="1"/>
    <xf numFmtId="3" fontId="4" fillId="0" borderId="8" xfId="4" applyNumberFormat="1" applyFont="1" applyBorder="1"/>
    <xf numFmtId="3" fontId="4" fillId="0" borderId="9" xfId="4" applyNumberFormat="1" applyFont="1" applyBorder="1" applyAlignment="1">
      <alignment horizontal="center" vertical="center"/>
    </xf>
    <xf numFmtId="3" fontId="4" fillId="2" borderId="9" xfId="4" applyNumberFormat="1" applyFont="1" applyFill="1" applyBorder="1" applyAlignment="1">
      <alignment horizontal="center" vertical="center"/>
    </xf>
    <xf numFmtId="0" fontId="2" fillId="0" borderId="0" xfId="4" applyFont="1" applyAlignment="1">
      <alignment horizontal="center" vertical="center"/>
    </xf>
    <xf numFmtId="3" fontId="4" fillId="0" borderId="0" xfId="4" applyNumberFormat="1" applyFont="1" applyAlignment="1">
      <alignment horizontal="center" vertical="center" wrapText="1"/>
    </xf>
    <xf numFmtId="3" fontId="4" fillId="0" borderId="0" xfId="4" applyNumberFormat="1" applyFont="1" applyAlignment="1">
      <alignment horizontal="center" vertical="center"/>
    </xf>
    <xf numFmtId="3" fontId="18" fillId="0" borderId="0" xfId="4" applyNumberFormat="1"/>
    <xf numFmtId="164" fontId="12" fillId="0" borderId="2" xfId="2" applyFont="1" applyFill="1" applyBorder="1" applyAlignment="1" applyProtection="1"/>
    <xf numFmtId="167" fontId="18" fillId="0" borderId="0" xfId="4" applyNumberFormat="1"/>
    <xf numFmtId="168" fontId="18" fillId="0" borderId="0" xfId="4" applyNumberFormat="1"/>
    <xf numFmtId="164" fontId="18" fillId="0" borderId="0" xfId="4" applyNumberFormat="1"/>
    <xf numFmtId="164" fontId="12" fillId="0" borderId="0" xfId="2" applyFont="1" applyFill="1" applyBorder="1" applyAlignment="1" applyProtection="1"/>
    <xf numFmtId="0" fontId="2" fillId="0" borderId="10" xfId="4" applyFont="1" applyBorder="1"/>
    <xf numFmtId="0" fontId="18" fillId="0" borderId="11" xfId="4" applyBorder="1"/>
    <xf numFmtId="164" fontId="12" fillId="0" borderId="11" xfId="2" applyFont="1" applyFill="1" applyBorder="1" applyAlignment="1" applyProtection="1"/>
    <xf numFmtId="169" fontId="18" fillId="0" borderId="0" xfId="4" applyNumberFormat="1"/>
    <xf numFmtId="0" fontId="14" fillId="0" borderId="0" xfId="4" applyFont="1"/>
    <xf numFmtId="0" fontId="18" fillId="4" borderId="0" xfId="4" applyFill="1"/>
    <xf numFmtId="164" fontId="12" fillId="4" borderId="2" xfId="2" applyFont="1" applyFill="1" applyBorder="1" applyAlignment="1" applyProtection="1"/>
    <xf numFmtId="164" fontId="12" fillId="4" borderId="0" xfId="2" applyFont="1" applyFill="1" applyBorder="1" applyAlignment="1" applyProtection="1"/>
    <xf numFmtId="164" fontId="12" fillId="4" borderId="11" xfId="2" applyFont="1" applyFill="1" applyBorder="1" applyAlignment="1" applyProtection="1"/>
    <xf numFmtId="0" fontId="2" fillId="4" borderId="2" xfId="4" applyFont="1" applyFill="1" applyBorder="1" applyAlignment="1">
      <alignment horizontal="center"/>
    </xf>
    <xf numFmtId="3" fontId="4" fillId="4" borderId="0" xfId="4" applyNumberFormat="1" applyFont="1" applyFill="1"/>
    <xf numFmtId="3" fontId="4" fillId="4" borderId="0" xfId="4" applyNumberFormat="1" applyFont="1" applyFill="1" applyAlignment="1">
      <alignment horizontal="center" vertical="center"/>
    </xf>
    <xf numFmtId="3" fontId="3" fillId="4" borderId="0" xfId="4" applyNumberFormat="1" applyFont="1" applyFill="1" applyAlignment="1">
      <alignment horizontal="left" vertical="center" wrapText="1"/>
    </xf>
    <xf numFmtId="3" fontId="18" fillId="4" borderId="0" xfId="4" applyNumberFormat="1" applyFill="1"/>
    <xf numFmtId="43" fontId="1" fillId="0" borderId="0" xfId="7"/>
    <xf numFmtId="43" fontId="1" fillId="0" borderId="0" xfId="7" applyFill="1"/>
    <xf numFmtId="164" fontId="12" fillId="0" borderId="12" xfId="2" applyFont="1" applyFill="1" applyBorder="1" applyAlignment="1" applyProtection="1"/>
    <xf numFmtId="164" fontId="12" fillId="0" borderId="13" xfId="2" applyFont="1" applyFill="1" applyBorder="1" applyAlignment="1" applyProtection="1"/>
    <xf numFmtId="164" fontId="12" fillId="0" borderId="14" xfId="2" applyFont="1" applyFill="1" applyBorder="1" applyAlignment="1" applyProtection="1"/>
    <xf numFmtId="164" fontId="12" fillId="4" borderId="14" xfId="2" applyFont="1" applyFill="1" applyBorder="1" applyAlignment="1" applyProtection="1"/>
    <xf numFmtId="43" fontId="18" fillId="0" borderId="0" xfId="4" applyNumberFormat="1"/>
    <xf numFmtId="9" fontId="0" fillId="0" borderId="0" xfId="4" applyNumberFormat="1" applyFont="1" applyAlignment="1">
      <alignment horizontal="right"/>
    </xf>
    <xf numFmtId="0" fontId="0" fillId="0" borderId="0" xfId="4" applyFont="1" applyAlignment="1">
      <alignment horizontal="right"/>
    </xf>
    <xf numFmtId="44" fontId="1" fillId="0" borderId="0" xfId="1"/>
    <xf numFmtId="44" fontId="1" fillId="4" borderId="0" xfId="1" applyFill="1"/>
    <xf numFmtId="3" fontId="3" fillId="0" borderId="15" xfId="4" applyNumberFormat="1" applyFont="1" applyBorder="1" applyAlignment="1">
      <alignment horizontal="left" vertical="center" wrapText="1"/>
    </xf>
    <xf numFmtId="3" fontId="3" fillId="2" borderId="16" xfId="4" applyNumberFormat="1" applyFont="1" applyFill="1" applyBorder="1" applyAlignment="1">
      <alignment horizontal="center"/>
    </xf>
    <xf numFmtId="3" fontId="4" fillId="2" borderId="17" xfId="4" applyNumberFormat="1" applyFont="1" applyFill="1" applyBorder="1"/>
    <xf numFmtId="3" fontId="4" fillId="0" borderId="15" xfId="4" applyNumberFormat="1" applyFont="1" applyBorder="1"/>
    <xf numFmtId="3" fontId="4" fillId="0" borderId="18" xfId="4" applyNumberFormat="1" applyFont="1" applyBorder="1"/>
    <xf numFmtId="3" fontId="4" fillId="0" borderId="19" xfId="4" applyNumberFormat="1" applyFont="1" applyBorder="1" applyAlignment="1">
      <alignment horizontal="center" vertical="center"/>
    </xf>
    <xf numFmtId="3" fontId="4" fillId="2" borderId="19" xfId="4" applyNumberFormat="1" applyFont="1" applyFill="1" applyBorder="1" applyAlignment="1">
      <alignment horizontal="center" vertical="center"/>
    </xf>
    <xf numFmtId="0" fontId="2" fillId="0" borderId="15" xfId="4" applyFont="1" applyBorder="1" applyAlignment="1">
      <alignment horizontal="center" vertical="center"/>
    </xf>
    <xf numFmtId="3" fontId="4" fillId="2" borderId="18" xfId="4" applyNumberFormat="1" applyFont="1" applyFill="1" applyBorder="1" applyAlignment="1">
      <alignment horizontal="center" vertical="center"/>
    </xf>
    <xf numFmtId="0" fontId="18" fillId="0" borderId="15" xfId="4" applyBorder="1"/>
    <xf numFmtId="0" fontId="18" fillId="0" borderId="18" xfId="4" applyBorder="1"/>
    <xf numFmtId="3" fontId="3" fillId="0" borderId="18" xfId="4" applyNumberFormat="1" applyFont="1" applyBorder="1" applyAlignment="1">
      <alignment horizontal="left" vertical="center" wrapText="1"/>
    </xf>
    <xf numFmtId="0" fontId="18" fillId="0" borderId="20" xfId="4" applyBorder="1"/>
    <xf numFmtId="0" fontId="18" fillId="0" borderId="21" xfId="4" applyBorder="1"/>
    <xf numFmtId="0" fontId="18" fillId="4" borderId="21" xfId="4" applyFill="1" applyBorder="1"/>
    <xf numFmtId="0" fontId="18" fillId="0" borderId="22" xfId="4" applyBorder="1"/>
    <xf numFmtId="0" fontId="0" fillId="0" borderId="2" xfId="4" applyFont="1" applyBorder="1"/>
    <xf numFmtId="0" fontId="18" fillId="0" borderId="2" xfId="4" applyBorder="1"/>
    <xf numFmtId="0" fontId="8" fillId="0" borderId="2" xfId="4" applyFont="1" applyBorder="1"/>
    <xf numFmtId="0" fontId="2" fillId="0" borderId="0" xfId="4" applyFont="1" applyAlignment="1">
      <alignment horizontal="right"/>
    </xf>
    <xf numFmtId="0" fontId="7" fillId="0" borderId="2" xfId="4" applyFont="1" applyBorder="1"/>
    <xf numFmtId="0" fontId="0" fillId="0" borderId="14" xfId="4" applyFont="1" applyBorder="1"/>
    <xf numFmtId="0" fontId="0" fillId="0" borderId="12" xfId="4" applyFont="1" applyBorder="1"/>
    <xf numFmtId="0" fontId="18" fillId="0" borderId="12" xfId="4" applyBorder="1"/>
    <xf numFmtId="0" fontId="18" fillId="0" borderId="13" xfId="4" applyBorder="1"/>
    <xf numFmtId="0" fontId="18" fillId="0" borderId="6" xfId="4" applyBorder="1"/>
    <xf numFmtId="0" fontId="18" fillId="0" borderId="23" xfId="4" applyBorder="1"/>
    <xf numFmtId="0" fontId="2" fillId="0" borderId="0" xfId="4" applyFont="1"/>
    <xf numFmtId="164" fontId="13" fillId="0" borderId="24" xfId="2" applyFont="1" applyFill="1" applyBorder="1" applyAlignment="1" applyProtection="1"/>
    <xf numFmtId="164" fontId="13" fillId="0" borderId="25" xfId="2" applyFont="1" applyFill="1" applyBorder="1" applyAlignment="1" applyProtection="1"/>
    <xf numFmtId="0" fontId="5" fillId="0" borderId="0" xfId="4" applyFont="1"/>
    <xf numFmtId="44" fontId="18" fillId="0" borderId="0" xfId="4" applyNumberFormat="1"/>
    <xf numFmtId="164" fontId="12" fillId="4" borderId="12" xfId="2" applyFont="1" applyFill="1" applyBorder="1" applyAlignment="1" applyProtection="1"/>
    <xf numFmtId="0" fontId="0" fillId="0" borderId="13" xfId="4" applyFont="1" applyBorder="1"/>
    <xf numFmtId="0" fontId="2" fillId="0" borderId="26" xfId="4" applyFont="1" applyBorder="1" applyAlignment="1">
      <alignment horizontal="center" wrapText="1"/>
    </xf>
    <xf numFmtId="0" fontId="2" fillId="0" borderId="27" xfId="4" applyFont="1" applyBorder="1" applyAlignment="1">
      <alignment horizontal="center"/>
    </xf>
    <xf numFmtId="0" fontId="18" fillId="0" borderId="26" xfId="4" applyBorder="1"/>
    <xf numFmtId="3" fontId="18" fillId="0" borderId="2" xfId="4" applyNumberFormat="1" applyBorder="1"/>
    <xf numFmtId="3" fontId="18" fillId="0" borderId="27" xfId="4" applyNumberFormat="1" applyBorder="1"/>
    <xf numFmtId="0" fontId="2" fillId="0" borderId="25" xfId="4" applyFont="1" applyBorder="1" applyAlignment="1">
      <alignment horizontal="center"/>
    </xf>
    <xf numFmtId="0" fontId="9" fillId="0" borderId="28" xfId="4" applyFont="1" applyBorder="1" applyAlignment="1">
      <alignment horizontal="center"/>
    </xf>
    <xf numFmtId="166" fontId="18" fillId="0" borderId="29" xfId="4" applyNumberFormat="1" applyBorder="1"/>
    <xf numFmtId="3" fontId="7" fillId="0" borderId="30" xfId="4" applyNumberFormat="1" applyFont="1" applyBorder="1" applyAlignment="1">
      <alignment vertical="center"/>
    </xf>
    <xf numFmtId="0" fontId="7" fillId="0" borderId="31" xfId="4" applyFont="1" applyBorder="1"/>
    <xf numFmtId="3" fontId="18" fillId="0" borderId="32" xfId="4" applyNumberFormat="1" applyBorder="1"/>
    <xf numFmtId="0" fontId="7" fillId="0" borderId="0" xfId="4" applyFont="1"/>
    <xf numFmtId="0" fontId="7" fillId="0" borderId="9" xfId="4" applyFont="1" applyBorder="1"/>
    <xf numFmtId="0" fontId="7" fillId="0" borderId="33" xfId="4" applyFont="1" applyBorder="1"/>
    <xf numFmtId="3" fontId="18" fillId="0" borderId="13" xfId="4" applyNumberFormat="1" applyBorder="1"/>
    <xf numFmtId="3" fontId="18" fillId="0" borderId="8" xfId="4" applyNumberFormat="1" applyBorder="1"/>
    <xf numFmtId="166" fontId="18" fillId="0" borderId="6" xfId="4" applyNumberFormat="1" applyBorder="1"/>
    <xf numFmtId="3" fontId="3" fillId="5" borderId="1" xfId="4" applyNumberFormat="1" applyFont="1" applyFill="1" applyBorder="1" applyAlignment="1">
      <alignment horizontal="left" vertical="center" wrapText="1"/>
    </xf>
    <xf numFmtId="3" fontId="4" fillId="5" borderId="2" xfId="4" applyNumberFormat="1" applyFont="1" applyFill="1" applyBorder="1"/>
    <xf numFmtId="3" fontId="3" fillId="5" borderId="3" xfId="4" applyNumberFormat="1" applyFont="1" applyFill="1" applyBorder="1" applyAlignment="1">
      <alignment horizontal="center"/>
    </xf>
    <xf numFmtId="3" fontId="4" fillId="5" borderId="5" xfId="4" applyNumberFormat="1" applyFont="1" applyFill="1" applyBorder="1"/>
    <xf numFmtId="3" fontId="4" fillId="5" borderId="9" xfId="4" applyNumberFormat="1" applyFont="1" applyFill="1" applyBorder="1" applyAlignment="1">
      <alignment horizontal="center" vertical="center"/>
    </xf>
    <xf numFmtId="3" fontId="4" fillId="6" borderId="2" xfId="4" applyNumberFormat="1" applyFont="1" applyFill="1" applyBorder="1"/>
    <xf numFmtId="3" fontId="4" fillId="7" borderId="0" xfId="4" applyNumberFormat="1" applyFont="1" applyFill="1" applyAlignment="1">
      <alignment horizontal="center" vertical="center"/>
    </xf>
    <xf numFmtId="3" fontId="7" fillId="0" borderId="9" xfId="4" applyNumberFormat="1" applyFont="1" applyBorder="1"/>
    <xf numFmtId="164" fontId="13" fillId="0" borderId="34" xfId="2" applyFont="1" applyFill="1" applyBorder="1" applyAlignment="1" applyProtection="1"/>
    <xf numFmtId="164" fontId="13" fillId="0" borderId="35" xfId="2" applyFont="1" applyFill="1" applyBorder="1" applyAlignment="1" applyProtection="1"/>
    <xf numFmtId="164" fontId="13" fillId="4" borderId="35" xfId="2" applyFont="1" applyFill="1" applyBorder="1" applyAlignment="1" applyProtection="1"/>
    <xf numFmtId="164" fontId="13" fillId="0" borderId="36" xfId="2" applyFont="1" applyFill="1" applyBorder="1" applyAlignment="1" applyProtection="1"/>
    <xf numFmtId="164" fontId="2" fillId="0" borderId="34" xfId="2" applyFont="1" applyFill="1" applyBorder="1" applyAlignment="1" applyProtection="1"/>
    <xf numFmtId="164" fontId="2" fillId="0" borderId="35" xfId="2" applyFont="1" applyFill="1" applyBorder="1" applyAlignment="1" applyProtection="1"/>
    <xf numFmtId="164" fontId="2" fillId="4" borderId="35" xfId="2" applyFont="1" applyFill="1" applyBorder="1" applyAlignment="1" applyProtection="1"/>
    <xf numFmtId="164" fontId="2" fillId="0" borderId="36" xfId="2" applyFont="1" applyFill="1" applyBorder="1" applyAlignment="1" applyProtection="1"/>
    <xf numFmtId="164" fontId="2" fillId="4" borderId="37" xfId="2" applyFont="1" applyFill="1" applyBorder="1" applyAlignment="1" applyProtection="1"/>
    <xf numFmtId="164" fontId="2" fillId="0" borderId="38" xfId="2" applyFont="1" applyFill="1" applyBorder="1" applyAlignment="1" applyProtection="1"/>
    <xf numFmtId="164" fontId="2" fillId="0" borderId="34" xfId="4" applyNumberFormat="1" applyFont="1" applyBorder="1"/>
    <xf numFmtId="164" fontId="12" fillId="0" borderId="39" xfId="2" applyFont="1" applyFill="1" applyBorder="1" applyAlignment="1" applyProtection="1"/>
    <xf numFmtId="164" fontId="13" fillId="0" borderId="40" xfId="2" applyFont="1" applyFill="1" applyBorder="1" applyAlignment="1" applyProtection="1"/>
    <xf numFmtId="164" fontId="13" fillId="0" borderId="38" xfId="2" applyFont="1" applyFill="1" applyBorder="1" applyAlignment="1" applyProtection="1"/>
    <xf numFmtId="164" fontId="2" fillId="0" borderId="40" xfId="2" applyFont="1" applyFill="1" applyBorder="1" applyAlignment="1" applyProtection="1"/>
    <xf numFmtId="164" fontId="2" fillId="4" borderId="40" xfId="2" applyFont="1" applyFill="1" applyBorder="1" applyAlignment="1" applyProtection="1"/>
    <xf numFmtId="164" fontId="13" fillId="0" borderId="41" xfId="2" applyFont="1" applyFill="1" applyBorder="1" applyAlignment="1" applyProtection="1"/>
    <xf numFmtId="164" fontId="13" fillId="0" borderId="42" xfId="2" applyFont="1" applyFill="1" applyBorder="1" applyAlignment="1" applyProtection="1"/>
    <xf numFmtId="164" fontId="13" fillId="0" borderId="43" xfId="2" applyFont="1" applyFill="1" applyBorder="1" applyAlignment="1" applyProtection="1"/>
    <xf numFmtId="164" fontId="18" fillId="0" borderId="6" xfId="2" applyFont="1" applyFill="1" applyBorder="1" applyAlignment="1" applyProtection="1"/>
    <xf numFmtId="164" fontId="2" fillId="0" borderId="40" xfId="4" applyNumberFormat="1" applyFont="1" applyBorder="1"/>
    <xf numFmtId="164" fontId="2" fillId="0" borderId="38" xfId="4" applyNumberFormat="1" applyFont="1" applyBorder="1"/>
    <xf numFmtId="164" fontId="12" fillId="0" borderId="1" xfId="2" applyFont="1" applyFill="1" applyBorder="1" applyAlignment="1" applyProtection="1"/>
    <xf numFmtId="164" fontId="12" fillId="0" borderId="44" xfId="2" applyFont="1" applyFill="1" applyBorder="1" applyAlignment="1" applyProtection="1"/>
    <xf numFmtId="3" fontId="18" fillId="0" borderId="28" xfId="4" applyNumberFormat="1" applyBorder="1"/>
    <xf numFmtId="3" fontId="4" fillId="2" borderId="0" xfId="4" applyNumberFormat="1" applyFont="1" applyFill="1" applyAlignment="1">
      <alignment horizontal="center" vertical="center"/>
    </xf>
    <xf numFmtId="3" fontId="4" fillId="0" borderId="33" xfId="4" applyNumberFormat="1" applyFont="1" applyBorder="1" applyAlignment="1">
      <alignment horizontal="center" vertical="center"/>
    </xf>
    <xf numFmtId="0" fontId="18" fillId="0" borderId="27" xfId="4" applyBorder="1"/>
    <xf numFmtId="3" fontId="18" fillId="0" borderId="46" xfId="4" applyNumberFormat="1" applyBorder="1"/>
    <xf numFmtId="3" fontId="18" fillId="0" borderId="74" xfId="4" applyNumberFormat="1" applyBorder="1"/>
    <xf numFmtId="0" fontId="2" fillId="0" borderId="56" xfId="4" applyFont="1" applyBorder="1"/>
    <xf numFmtId="0" fontId="10" fillId="0" borderId="57" xfId="4" applyFont="1" applyBorder="1" applyAlignment="1">
      <alignment horizontal="center"/>
    </xf>
    <xf numFmtId="0" fontId="11" fillId="0" borderId="57" xfId="4" applyFont="1" applyBorder="1" applyAlignment="1">
      <alignment horizontal="center"/>
    </xf>
    <xf numFmtId="0" fontId="11" fillId="4" borderId="57" xfId="4" applyFont="1" applyFill="1" applyBorder="1" applyAlignment="1">
      <alignment horizontal="center"/>
    </xf>
    <xf numFmtId="0" fontId="11" fillId="0" borderId="69" xfId="4" applyFont="1" applyBorder="1" applyAlignment="1">
      <alignment horizontal="center"/>
    </xf>
    <xf numFmtId="0" fontId="18" fillId="0" borderId="77" xfId="4" applyBorder="1"/>
    <xf numFmtId="164" fontId="12" fillId="0" borderId="78" xfId="2" applyFont="1" applyFill="1" applyBorder="1" applyAlignment="1" applyProtection="1"/>
    <xf numFmtId="164" fontId="13" fillId="0" borderId="79" xfId="2" applyFont="1" applyFill="1" applyBorder="1" applyAlignment="1" applyProtection="1"/>
    <xf numFmtId="0" fontId="0" fillId="0" borderId="77" xfId="4" applyFont="1" applyBorder="1"/>
    <xf numFmtId="164" fontId="12" fillId="0" borderId="49" xfId="2" applyFont="1" applyFill="1" applyBorder="1" applyAlignment="1" applyProtection="1"/>
    <xf numFmtId="0" fontId="0" fillId="0" borderId="80" xfId="4" applyFont="1" applyBorder="1"/>
    <xf numFmtId="0" fontId="18" fillId="0" borderId="80" xfId="4" applyBorder="1"/>
    <xf numFmtId="0" fontId="2" fillId="0" borderId="21" xfId="4" applyFont="1" applyBorder="1" applyAlignment="1">
      <alignment horizontal="right"/>
    </xf>
    <xf numFmtId="164" fontId="2" fillId="0" borderId="20" xfId="4" applyNumberFormat="1" applyFont="1" applyBorder="1"/>
    <xf numFmtId="164" fontId="2" fillId="0" borderId="81" xfId="4" applyNumberFormat="1" applyFont="1" applyBorder="1"/>
    <xf numFmtId="164" fontId="2" fillId="0" borderId="82" xfId="4" applyNumberFormat="1" applyFont="1" applyBorder="1"/>
    <xf numFmtId="0" fontId="18" fillId="3" borderId="77" xfId="4" applyFill="1" applyBorder="1"/>
    <xf numFmtId="164" fontId="12" fillId="0" borderId="18" xfId="2" applyFont="1" applyFill="1" applyBorder="1" applyAlignment="1" applyProtection="1"/>
    <xf numFmtId="0" fontId="0" fillId="0" borderId="83" xfId="4" applyFont="1" applyBorder="1"/>
    <xf numFmtId="0" fontId="0" fillId="0" borderId="84" xfId="4" applyFont="1" applyBorder="1"/>
    <xf numFmtId="164" fontId="12" fillId="0" borderId="84" xfId="2" applyFont="1" applyFill="1" applyBorder="1" applyAlignment="1" applyProtection="1"/>
    <xf numFmtId="164" fontId="12" fillId="0" borderId="85" xfId="2" applyFont="1" applyFill="1" applyBorder="1" applyAlignment="1" applyProtection="1"/>
    <xf numFmtId="164" fontId="2" fillId="0" borderId="0" xfId="2" applyFont="1" applyFill="1" applyBorder="1" applyAlignment="1" applyProtection="1"/>
    <xf numFmtId="0" fontId="0" fillId="0" borderId="86" xfId="4" applyFont="1" applyBorder="1"/>
    <xf numFmtId="164" fontId="12" fillId="0" borderId="87" xfId="2" applyFont="1" applyFill="1" applyBorder="1" applyAlignment="1" applyProtection="1"/>
    <xf numFmtId="0" fontId="0" fillId="0" borderId="88" xfId="4" applyFont="1" applyBorder="1"/>
    <xf numFmtId="164" fontId="12" fillId="0" borderId="89" xfId="2" applyFont="1" applyFill="1" applyBorder="1" applyAlignment="1" applyProtection="1"/>
    <xf numFmtId="164" fontId="12" fillId="0" borderId="90" xfId="2" applyFont="1" applyFill="1" applyBorder="1" applyAlignment="1" applyProtection="1"/>
    <xf numFmtId="0" fontId="0" fillId="0" borderId="15" xfId="4" applyFont="1" applyBorder="1"/>
    <xf numFmtId="0" fontId="0" fillId="0" borderId="91" xfId="4" applyFont="1" applyBorder="1"/>
    <xf numFmtId="0" fontId="18" fillId="0" borderId="95" xfId="4" applyBorder="1"/>
    <xf numFmtId="164" fontId="12" fillId="0" borderId="96" xfId="2" applyFont="1" applyFill="1" applyBorder="1" applyAlignment="1" applyProtection="1"/>
    <xf numFmtId="164" fontId="18" fillId="4" borderId="0" xfId="4" applyNumberFormat="1" applyFill="1"/>
    <xf numFmtId="164" fontId="18" fillId="0" borderId="18" xfId="4" applyNumberFormat="1" applyBorder="1"/>
    <xf numFmtId="4" fontId="18" fillId="0" borderId="0" xfId="4" applyNumberFormat="1"/>
    <xf numFmtId="3" fontId="4" fillId="0" borderId="61" xfId="4" applyNumberFormat="1" applyFont="1" applyBorder="1" applyAlignment="1">
      <alignment horizontal="center" vertical="center"/>
    </xf>
    <xf numFmtId="3" fontId="4" fillId="0" borderId="46" xfId="4" applyNumberFormat="1" applyFont="1" applyBorder="1" applyAlignment="1">
      <alignment horizontal="center" vertical="center"/>
    </xf>
    <xf numFmtId="3" fontId="4" fillId="0" borderId="54" xfId="4" applyNumberFormat="1" applyFont="1" applyBorder="1" applyAlignment="1">
      <alignment horizontal="center" vertical="center"/>
    </xf>
    <xf numFmtId="0" fontId="2" fillId="0" borderId="2" xfId="4" applyFont="1" applyBorder="1" applyAlignment="1">
      <alignment horizontal="center" vertical="center"/>
    </xf>
    <xf numFmtId="3" fontId="4" fillId="0" borderId="54" xfId="4" applyNumberFormat="1" applyFont="1" applyBorder="1" applyAlignment="1">
      <alignment horizontal="center" vertical="center" wrapText="1"/>
    </xf>
    <xf numFmtId="3" fontId="4" fillId="0" borderId="56" xfId="4" applyNumberFormat="1" applyFont="1" applyBorder="1" applyAlignment="1">
      <alignment horizontal="center" vertical="center" wrapText="1"/>
    </xf>
    <xf numFmtId="3" fontId="4" fillId="0" borderId="57" xfId="4" applyNumberFormat="1" applyFont="1" applyBorder="1" applyAlignment="1">
      <alignment horizontal="center" vertical="center" wrapText="1"/>
    </xf>
    <xf numFmtId="3" fontId="4" fillId="0" borderId="69" xfId="4" applyNumberFormat="1" applyFont="1" applyBorder="1" applyAlignment="1">
      <alignment horizontal="center" vertical="center" wrapText="1"/>
    </xf>
    <xf numFmtId="3" fontId="4" fillId="0" borderId="20" xfId="4" applyNumberFormat="1" applyFont="1" applyBorder="1" applyAlignment="1">
      <alignment horizontal="center" vertical="center" wrapText="1"/>
    </xf>
    <xf numFmtId="3" fontId="4" fillId="0" borderId="21" xfId="4" applyNumberFormat="1" applyFont="1" applyBorder="1" applyAlignment="1">
      <alignment horizontal="center" vertical="center" wrapText="1"/>
    </xf>
    <xf numFmtId="3" fontId="4" fillId="0" borderId="22" xfId="4" applyNumberFormat="1" applyFont="1" applyBorder="1" applyAlignment="1">
      <alignment horizontal="center" vertical="center" wrapText="1"/>
    </xf>
    <xf numFmtId="3" fontId="4" fillId="0" borderId="57" xfId="4" applyNumberFormat="1" applyFont="1" applyBorder="1" applyAlignment="1">
      <alignment horizontal="center" vertical="center"/>
    </xf>
    <xf numFmtId="3" fontId="4" fillId="0" borderId="21" xfId="4" applyNumberFormat="1" applyFont="1" applyBorder="1" applyAlignment="1">
      <alignment horizontal="center" vertical="center"/>
    </xf>
    <xf numFmtId="3" fontId="4" fillId="0" borderId="70" xfId="4" applyNumberFormat="1" applyFont="1" applyBorder="1" applyAlignment="1">
      <alignment horizontal="center" vertical="center"/>
    </xf>
    <xf numFmtId="3" fontId="4" fillId="0" borderId="71" xfId="4" applyNumberFormat="1" applyFont="1" applyBorder="1" applyAlignment="1">
      <alignment horizontal="center" vertical="center"/>
    </xf>
    <xf numFmtId="3" fontId="4" fillId="2" borderId="65" xfId="4" applyNumberFormat="1" applyFont="1" applyFill="1" applyBorder="1" applyAlignment="1">
      <alignment horizontal="center" vertical="center"/>
    </xf>
    <xf numFmtId="3" fontId="4" fillId="2" borderId="66" xfId="4" applyNumberFormat="1" applyFont="1" applyFill="1" applyBorder="1" applyAlignment="1">
      <alignment horizontal="center" vertical="center"/>
    </xf>
    <xf numFmtId="3" fontId="4" fillId="5" borderId="46" xfId="4" applyNumberFormat="1" applyFont="1" applyFill="1" applyBorder="1" applyAlignment="1">
      <alignment horizontal="center" vertical="center"/>
    </xf>
    <xf numFmtId="3" fontId="4" fillId="0" borderId="46" xfId="4" applyNumberFormat="1" applyFont="1" applyBorder="1" applyAlignment="1">
      <alignment horizontal="center" vertical="center" wrapText="1"/>
    </xf>
    <xf numFmtId="0" fontId="2" fillId="4" borderId="2" xfId="4" applyFont="1" applyFill="1" applyBorder="1" applyAlignment="1">
      <alignment horizontal="center" vertical="center"/>
    </xf>
    <xf numFmtId="3" fontId="4" fillId="0" borderId="0" xfId="4" applyNumberFormat="1" applyFont="1" applyAlignment="1">
      <alignment horizontal="center"/>
    </xf>
    <xf numFmtId="3" fontId="3" fillId="0" borderId="48" xfId="4" applyNumberFormat="1" applyFont="1" applyBorder="1" applyAlignment="1">
      <alignment horizontal="center" vertical="center" textRotation="45"/>
    </xf>
    <xf numFmtId="3" fontId="3" fillId="2" borderId="2" xfId="4" applyNumberFormat="1" applyFont="1" applyFill="1" applyBorder="1" applyAlignment="1">
      <alignment horizontal="center" vertical="center" wrapText="1"/>
    </xf>
    <xf numFmtId="3" fontId="3" fillId="2" borderId="27" xfId="4" applyNumberFormat="1" applyFont="1" applyFill="1" applyBorder="1" applyAlignment="1">
      <alignment horizontal="center" vertical="center"/>
    </xf>
    <xf numFmtId="3" fontId="4" fillId="2" borderId="46" xfId="4" applyNumberFormat="1" applyFont="1" applyFill="1" applyBorder="1" applyAlignment="1">
      <alignment horizontal="center" vertical="center"/>
    </xf>
    <xf numFmtId="3" fontId="6" fillId="0" borderId="47" xfId="4" applyNumberFormat="1" applyFont="1" applyBorder="1" applyAlignment="1">
      <alignment horizontal="left"/>
    </xf>
    <xf numFmtId="3" fontId="3" fillId="0" borderId="0" xfId="4" applyNumberFormat="1" applyFont="1" applyAlignment="1">
      <alignment horizontal="left" vertical="center" wrapText="1"/>
    </xf>
    <xf numFmtId="3" fontId="3" fillId="0" borderId="47" xfId="4" applyNumberFormat="1" applyFont="1" applyBorder="1" applyAlignment="1">
      <alignment horizontal="left" vertical="center" wrapText="1"/>
    </xf>
    <xf numFmtId="3" fontId="3" fillId="2" borderId="48" xfId="4" applyNumberFormat="1" applyFont="1" applyFill="1" applyBorder="1" applyAlignment="1">
      <alignment horizontal="center" vertical="center" wrapText="1"/>
    </xf>
    <xf numFmtId="3" fontId="3" fillId="0" borderId="48" xfId="4" applyNumberFormat="1" applyFont="1" applyBorder="1" applyAlignment="1">
      <alignment vertical="center" wrapText="1"/>
    </xf>
    <xf numFmtId="3" fontId="3" fillId="5" borderId="27" xfId="4" applyNumberFormat="1" applyFont="1" applyFill="1" applyBorder="1" applyAlignment="1">
      <alignment horizontal="center" vertical="center"/>
    </xf>
    <xf numFmtId="3" fontId="3" fillId="5" borderId="48" xfId="4" applyNumberFormat="1" applyFont="1" applyFill="1" applyBorder="1" applyAlignment="1">
      <alignment horizontal="center" vertical="center" wrapText="1"/>
    </xf>
    <xf numFmtId="3" fontId="3" fillId="5" borderId="2" xfId="4" applyNumberFormat="1" applyFont="1" applyFill="1" applyBorder="1" applyAlignment="1">
      <alignment horizontal="center" vertical="center" wrapText="1"/>
    </xf>
    <xf numFmtId="3" fontId="4" fillId="7" borderId="46" xfId="4" applyNumberFormat="1" applyFont="1" applyFill="1" applyBorder="1" applyAlignment="1">
      <alignment horizontal="center" vertical="center"/>
    </xf>
    <xf numFmtId="170" fontId="4" fillId="0" borderId="46" xfId="4" applyNumberFormat="1" applyFont="1" applyBorder="1" applyAlignment="1">
      <alignment horizontal="center" vertical="center"/>
    </xf>
    <xf numFmtId="0" fontId="2" fillId="0" borderId="12" xfId="4" applyFont="1" applyBorder="1" applyAlignment="1">
      <alignment horizontal="center" vertical="center"/>
    </xf>
    <xf numFmtId="3" fontId="4" fillId="0" borderId="12" xfId="4" applyNumberFormat="1" applyFont="1" applyBorder="1" applyAlignment="1">
      <alignment horizontal="center" vertical="center" wrapText="1"/>
    </xf>
    <xf numFmtId="3" fontId="4" fillId="0" borderId="12" xfId="4" applyNumberFormat="1" applyFont="1" applyBorder="1" applyAlignment="1">
      <alignment horizontal="center" vertical="center"/>
    </xf>
    <xf numFmtId="0" fontId="2" fillId="0" borderId="56" xfId="4" applyFont="1" applyBorder="1" applyAlignment="1">
      <alignment horizontal="center" vertical="center"/>
    </xf>
    <xf numFmtId="0" fontId="2" fillId="0" borderId="20" xfId="4" applyFont="1" applyBorder="1" applyAlignment="1">
      <alignment horizontal="center" vertical="center"/>
    </xf>
    <xf numFmtId="3" fontId="4" fillId="2" borderId="12" xfId="4" applyNumberFormat="1" applyFont="1" applyFill="1" applyBorder="1" applyAlignment="1">
      <alignment horizontal="center" vertical="center"/>
    </xf>
    <xf numFmtId="3" fontId="3" fillId="0" borderId="62" xfId="4" applyNumberFormat="1" applyFont="1" applyBorder="1" applyAlignment="1">
      <alignment horizontal="left" vertical="center" wrapText="1"/>
    </xf>
    <xf numFmtId="3" fontId="3" fillId="0" borderId="63" xfId="4" applyNumberFormat="1" applyFont="1" applyBorder="1" applyAlignment="1">
      <alignment horizontal="left" vertical="center" wrapText="1"/>
    </xf>
    <xf numFmtId="3" fontId="3" fillId="0" borderId="36" xfId="4" applyNumberFormat="1" applyFont="1" applyBorder="1" applyAlignment="1">
      <alignment horizontal="left" vertical="center" wrapText="1"/>
    </xf>
    <xf numFmtId="3" fontId="3" fillId="0" borderId="64" xfId="4" applyNumberFormat="1" applyFont="1" applyBorder="1" applyAlignment="1">
      <alignment horizontal="left" vertical="center" wrapText="1"/>
    </xf>
    <xf numFmtId="3" fontId="4" fillId="0" borderId="50" xfId="4" applyNumberFormat="1" applyFont="1" applyBorder="1" applyAlignment="1">
      <alignment horizontal="center" vertical="center"/>
    </xf>
    <xf numFmtId="3" fontId="3" fillId="0" borderId="15" xfId="4" applyNumberFormat="1" applyFont="1" applyBorder="1" applyAlignment="1">
      <alignment horizontal="left" vertical="center" wrapText="1"/>
    </xf>
    <xf numFmtId="3" fontId="3" fillId="0" borderId="60" xfId="4" applyNumberFormat="1" applyFont="1" applyBorder="1" applyAlignment="1">
      <alignment horizontal="left" vertical="center" wrapText="1"/>
    </xf>
    <xf numFmtId="3" fontId="3" fillId="2" borderId="55" xfId="4" applyNumberFormat="1" applyFont="1" applyFill="1" applyBorder="1" applyAlignment="1">
      <alignment horizontal="center" vertical="center" wrapText="1"/>
    </xf>
    <xf numFmtId="3" fontId="3" fillId="0" borderId="55" xfId="4" applyNumberFormat="1" applyFont="1" applyBorder="1" applyAlignment="1">
      <alignment vertical="center" wrapText="1"/>
    </xf>
    <xf numFmtId="3" fontId="3" fillId="0" borderId="55" xfId="4" applyNumberFormat="1" applyFont="1" applyBorder="1" applyAlignment="1">
      <alignment horizontal="center" vertical="center" textRotation="45"/>
    </xf>
    <xf numFmtId="3" fontId="3" fillId="2" borderId="49" xfId="4" applyNumberFormat="1" applyFont="1" applyFill="1" applyBorder="1" applyAlignment="1">
      <alignment horizontal="center" vertical="center"/>
    </xf>
    <xf numFmtId="3" fontId="3" fillId="0" borderId="56" xfId="4" applyNumberFormat="1" applyFont="1" applyBorder="1" applyAlignment="1">
      <alignment horizontal="left" vertical="center" wrapText="1"/>
    </xf>
    <xf numFmtId="3" fontId="3" fillId="0" borderId="57" xfId="4" applyNumberFormat="1" applyFont="1" applyBorder="1" applyAlignment="1">
      <alignment horizontal="left" vertical="center" wrapText="1"/>
    </xf>
    <xf numFmtId="3" fontId="3" fillId="0" borderId="58" xfId="4" applyNumberFormat="1" applyFont="1" applyBorder="1" applyAlignment="1">
      <alignment horizontal="left" vertical="center" wrapText="1"/>
    </xf>
    <xf numFmtId="3" fontId="3" fillId="0" borderId="59" xfId="4" applyNumberFormat="1" applyFont="1" applyBorder="1" applyAlignment="1">
      <alignment horizontal="left" vertical="center" wrapText="1"/>
    </xf>
    <xf numFmtId="3" fontId="3" fillId="7" borderId="48" xfId="4" applyNumberFormat="1" applyFont="1" applyFill="1" applyBorder="1" applyAlignment="1">
      <alignment horizontal="center" vertical="center" wrapText="1"/>
    </xf>
    <xf numFmtId="3" fontId="3" fillId="0" borderId="46" xfId="4" applyNumberFormat="1" applyFont="1" applyBorder="1" applyAlignment="1">
      <alignment horizontal="center" vertical="center"/>
    </xf>
    <xf numFmtId="0" fontId="2" fillId="0" borderId="0" xfId="4" applyFont="1" applyAlignment="1">
      <alignment horizontal="center"/>
    </xf>
    <xf numFmtId="3" fontId="3" fillId="0" borderId="0" xfId="4" applyNumberFormat="1" applyFont="1" applyAlignment="1">
      <alignment horizontal="center" vertical="center" wrapText="1"/>
    </xf>
    <xf numFmtId="3" fontId="3" fillId="0" borderId="0" xfId="4" applyNumberFormat="1" applyFont="1" applyAlignment="1">
      <alignment horizontal="center"/>
    </xf>
    <xf numFmtId="3" fontId="4" fillId="0" borderId="51" xfId="4" applyNumberFormat="1" applyFont="1" applyBorder="1" applyAlignment="1">
      <alignment horizontal="center" vertical="center" wrapText="1"/>
    </xf>
    <xf numFmtId="3" fontId="4" fillId="0" borderId="10" xfId="4" applyNumberFormat="1" applyFont="1" applyBorder="1" applyAlignment="1">
      <alignment horizontal="center" vertical="center" wrapText="1"/>
    </xf>
    <xf numFmtId="3" fontId="4" fillId="0" borderId="30" xfId="4" applyNumberFormat="1" applyFont="1" applyBorder="1" applyAlignment="1">
      <alignment horizontal="center" vertical="center" wrapText="1"/>
    </xf>
    <xf numFmtId="3" fontId="4" fillId="0" borderId="52" xfId="4" applyNumberFormat="1" applyFont="1" applyBorder="1" applyAlignment="1">
      <alignment horizontal="center" vertical="center" wrapText="1"/>
    </xf>
    <xf numFmtId="3" fontId="4" fillId="0" borderId="11" xfId="4" applyNumberFormat="1" applyFont="1" applyBorder="1" applyAlignment="1">
      <alignment horizontal="center" vertical="center" wrapText="1"/>
    </xf>
    <xf numFmtId="3" fontId="4" fillId="0" borderId="53" xfId="4" applyNumberFormat="1" applyFont="1" applyBorder="1" applyAlignment="1">
      <alignment horizontal="center" vertical="center" wrapText="1"/>
    </xf>
    <xf numFmtId="0" fontId="2" fillId="0" borderId="14" xfId="4" applyFont="1" applyBorder="1" applyAlignment="1">
      <alignment horizontal="center" vertical="center"/>
    </xf>
    <xf numFmtId="3" fontId="3" fillId="0" borderId="8" xfId="4" applyNumberFormat="1" applyFont="1" applyBorder="1" applyAlignment="1">
      <alignment horizontal="left" vertical="center" wrapText="1"/>
    </xf>
    <xf numFmtId="3" fontId="3" fillId="0" borderId="24" xfId="4" applyNumberFormat="1" applyFont="1" applyBorder="1" applyAlignment="1">
      <alignment horizontal="left" vertical="center" wrapText="1"/>
    </xf>
    <xf numFmtId="3" fontId="3" fillId="0" borderId="25" xfId="4" applyNumberFormat="1" applyFont="1" applyBorder="1" applyAlignment="1">
      <alignment horizontal="left" vertical="center" wrapText="1"/>
    </xf>
    <xf numFmtId="3" fontId="3" fillId="0" borderId="28" xfId="4" applyNumberFormat="1" applyFont="1" applyBorder="1" applyAlignment="1">
      <alignment horizontal="left" vertical="center" wrapText="1"/>
    </xf>
    <xf numFmtId="3" fontId="4" fillId="7" borderId="31" xfId="4" applyNumberFormat="1" applyFont="1" applyFill="1" applyBorder="1" applyAlignment="1">
      <alignment horizontal="center" vertical="center"/>
    </xf>
    <xf numFmtId="3" fontId="4" fillId="7" borderId="45" xfId="4" applyNumberFormat="1" applyFont="1" applyFill="1" applyBorder="1" applyAlignment="1">
      <alignment horizontal="center" vertical="center"/>
    </xf>
    <xf numFmtId="3" fontId="4" fillId="0" borderId="31" xfId="4" applyNumberFormat="1" applyFont="1" applyBorder="1" applyAlignment="1">
      <alignment horizontal="center" vertical="center"/>
    </xf>
    <xf numFmtId="3" fontId="4" fillId="0" borderId="45" xfId="4" applyNumberFormat="1" applyFont="1" applyBorder="1" applyAlignment="1">
      <alignment horizontal="center" vertical="center"/>
    </xf>
    <xf numFmtId="0" fontId="2" fillId="0" borderId="72" xfId="4" applyFont="1" applyBorder="1" applyAlignment="1">
      <alignment horizontal="center"/>
    </xf>
    <xf numFmtId="0" fontId="2" fillId="0" borderId="67" xfId="4" applyFont="1" applyBorder="1" applyAlignment="1">
      <alignment horizontal="center"/>
    </xf>
    <xf numFmtId="0" fontId="2" fillId="0" borderId="73" xfId="4" applyFont="1" applyBorder="1" applyAlignment="1">
      <alignment horizontal="center"/>
    </xf>
    <xf numFmtId="0" fontId="2" fillId="0" borderId="11" xfId="4" applyFont="1" applyBorder="1" applyAlignment="1">
      <alignment horizontal="center"/>
    </xf>
    <xf numFmtId="0" fontId="2" fillId="0" borderId="68" xfId="4" applyFont="1" applyBorder="1" applyAlignment="1">
      <alignment horizontal="center"/>
    </xf>
    <xf numFmtId="0" fontId="2" fillId="0" borderId="64" xfId="4" applyFont="1" applyBorder="1" applyAlignment="1">
      <alignment horizontal="center"/>
    </xf>
    <xf numFmtId="0" fontId="0" fillId="0" borderId="24" xfId="4" applyFont="1" applyBorder="1" applyAlignment="1">
      <alignment horizontal="center"/>
    </xf>
    <xf numFmtId="0" fontId="2" fillId="8" borderId="15" xfId="4" applyFont="1" applyFill="1" applyBorder="1" applyAlignment="1">
      <alignment horizontal="center"/>
    </xf>
    <xf numFmtId="0" fontId="2" fillId="8" borderId="0" xfId="4" applyFont="1" applyFill="1" applyAlignment="1">
      <alignment horizontal="center"/>
    </xf>
    <xf numFmtId="0" fontId="2" fillId="8" borderId="75" xfId="4" applyFont="1" applyFill="1" applyBorder="1" applyAlignment="1">
      <alignment horizontal="center"/>
    </xf>
    <xf numFmtId="0" fontId="2" fillId="8" borderId="17" xfId="4" applyFont="1" applyFill="1" applyBorder="1" applyAlignment="1">
      <alignment horizontal="center"/>
    </xf>
    <xf numFmtId="0" fontId="2" fillId="8" borderId="92" xfId="4" applyFont="1" applyFill="1" applyBorder="1" applyAlignment="1">
      <alignment horizontal="center"/>
    </xf>
    <xf numFmtId="0" fontId="2" fillId="8" borderId="93" xfId="4" applyFont="1" applyFill="1" applyBorder="1" applyAlignment="1">
      <alignment horizontal="center"/>
    </xf>
    <xf numFmtId="0" fontId="2" fillId="8" borderId="94" xfId="4" applyFont="1" applyFill="1" applyBorder="1" applyAlignment="1">
      <alignment horizontal="center"/>
    </xf>
    <xf numFmtId="0" fontId="2" fillId="8" borderId="97" xfId="4" applyFont="1" applyFill="1" applyBorder="1" applyAlignment="1">
      <alignment horizontal="center"/>
    </xf>
    <xf numFmtId="0" fontId="2" fillId="8" borderId="68" xfId="4" applyFont="1" applyFill="1" applyBorder="1" applyAlignment="1">
      <alignment horizontal="center"/>
    </xf>
    <xf numFmtId="0" fontId="2" fillId="8" borderId="98" xfId="4" applyFont="1" applyFill="1" applyBorder="1" applyAlignment="1">
      <alignment horizontal="center"/>
    </xf>
    <xf numFmtId="0" fontId="2" fillId="8" borderId="18" xfId="4" applyFont="1" applyFill="1" applyBorder="1" applyAlignment="1">
      <alignment horizontal="center"/>
    </xf>
    <xf numFmtId="0" fontId="2" fillId="8" borderId="56" xfId="4" applyFont="1" applyFill="1" applyBorder="1" applyAlignment="1">
      <alignment horizontal="center"/>
    </xf>
    <xf numFmtId="0" fontId="2" fillId="8" borderId="57" xfId="4" applyFont="1" applyFill="1" applyBorder="1" applyAlignment="1">
      <alignment horizontal="center"/>
    </xf>
    <xf numFmtId="0" fontId="2" fillId="8" borderId="69" xfId="4" applyFont="1" applyFill="1" applyBorder="1" applyAlignment="1">
      <alignment horizontal="center"/>
    </xf>
    <xf numFmtId="0" fontId="10" fillId="0" borderId="34" xfId="4" applyFont="1" applyBorder="1" applyAlignment="1">
      <alignment horizontal="center"/>
    </xf>
    <xf numFmtId="0" fontId="10" fillId="0" borderId="40" xfId="4" applyFont="1" applyBorder="1" applyAlignment="1">
      <alignment horizontal="center"/>
    </xf>
    <xf numFmtId="0" fontId="10" fillId="0" borderId="38" xfId="4" applyFont="1" applyBorder="1" applyAlignment="1">
      <alignment horizontal="center"/>
    </xf>
    <xf numFmtId="0" fontId="2" fillId="0" borderId="6" xfId="4" applyFont="1" applyBorder="1" applyAlignment="1">
      <alignment horizontal="center"/>
    </xf>
    <xf numFmtId="0" fontId="2" fillId="0" borderId="8" xfId="4" applyFont="1" applyBorder="1" applyAlignment="1">
      <alignment horizontal="center"/>
    </xf>
    <xf numFmtId="0" fontId="2" fillId="8" borderId="76" xfId="4" applyFont="1" applyFill="1" applyBorder="1" applyAlignment="1">
      <alignment horizontal="center"/>
    </xf>
  </cellXfs>
  <cellStyles count="8">
    <cellStyle name="Moeda" xfId="1" builtinId="4"/>
    <cellStyle name="Moeda 2" xfId="2"/>
    <cellStyle name="Moeda 2 2" xfId="3"/>
    <cellStyle name="Normal" xfId="0" builtinId="0"/>
    <cellStyle name="Normal 2" xfId="4"/>
    <cellStyle name="Separador de milhares 2" xfId="5"/>
    <cellStyle name="Separador de milhares 2 2" xfId="6"/>
    <cellStyle name="Vírgula" xfId="7"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971550</xdr:colOff>
      <xdr:row>62</xdr:row>
      <xdr:rowOff>95250</xdr:rowOff>
    </xdr:from>
    <xdr:to>
      <xdr:col>21</xdr:col>
      <xdr:colOff>257175</xdr:colOff>
      <xdr:row>81</xdr:row>
      <xdr:rowOff>28575</xdr:rowOff>
    </xdr:to>
    <xdr:pic>
      <xdr:nvPicPr>
        <xdr:cNvPr id="4261" name="Imagem 3">
          <a:extLst>
            <a:ext uri="{FF2B5EF4-FFF2-40B4-BE49-F238E27FC236}">
              <a16:creationId xmlns:a16="http://schemas.microsoft.com/office/drawing/2014/main" id="{637CF0EC-A8CB-BD05-27A7-A1F809800E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20675" y="11658600"/>
          <a:ext cx="9144000" cy="350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83</xdr:row>
      <xdr:rowOff>9525</xdr:rowOff>
    </xdr:from>
    <xdr:to>
      <xdr:col>19</xdr:col>
      <xdr:colOff>57150</xdr:colOff>
      <xdr:row>105</xdr:row>
      <xdr:rowOff>19050</xdr:rowOff>
    </xdr:to>
    <xdr:pic>
      <xdr:nvPicPr>
        <xdr:cNvPr id="4262" name="Imagem 4">
          <a:extLst>
            <a:ext uri="{FF2B5EF4-FFF2-40B4-BE49-F238E27FC236}">
              <a16:creationId xmlns:a16="http://schemas.microsoft.com/office/drawing/2014/main" id="{D4F98108-7A74-2975-365F-04442412E8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15535275"/>
          <a:ext cx="7553325"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5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20Reuni&#227;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Anexo I - Programas"/>
      <sheetName val="Anexo II - Resumo dos Programas"/>
      <sheetName val="Anexo III - Progr-Ação-Fun-Subf"/>
      <sheetName val="Plan1"/>
      <sheetName val="MeioAMB"/>
      <sheetName val="Adminis"/>
      <sheetName val="Desenv"/>
      <sheetName val="Educ"/>
      <sheetName val="Obras"/>
      <sheetName val="Fazenda"/>
      <sheetName val="Saúde"/>
    </sheetNames>
    <sheetDataSet>
      <sheetData sheetId="0"/>
      <sheetData sheetId="1"/>
      <sheetData sheetId="2">
        <row r="5">
          <cell r="B5" t="str">
            <v>Ação Legislativa</v>
          </cell>
        </row>
        <row r="6">
          <cell r="B6" t="str">
            <v>Ivoti Segura</v>
          </cell>
        </row>
        <row r="7">
          <cell r="B7" t="str">
            <v>Supervisão e Coordenação Administrativa</v>
          </cell>
        </row>
        <row r="8">
          <cell r="B8" t="str">
            <v>Gestão Pública Eficiente</v>
          </cell>
        </row>
        <row r="9">
          <cell r="B9" t="str">
            <v>Valorização da Produção Rural</v>
          </cell>
        </row>
        <row r="10">
          <cell r="B10" t="str">
            <v>Promoção do Crescimento</v>
          </cell>
        </row>
        <row r="11">
          <cell r="B11" t="str">
            <v>Desenvolvimento do Turismo</v>
          </cell>
        </row>
        <row r="12">
          <cell r="B12" t="str">
            <v>Desenvolvimento Educacional</v>
          </cell>
        </row>
        <row r="13">
          <cell r="B13" t="str">
            <v>Proteção Social Especial</v>
          </cell>
        </row>
        <row r="14">
          <cell r="B14" t="str">
            <v>Assistência ao Educando</v>
          </cell>
        </row>
        <row r="15">
          <cell r="B15" t="str">
            <v>Desenvolvimento da Cultura</v>
          </cell>
        </row>
        <row r="16">
          <cell r="B16" t="str">
            <v>Promoção do Desporto e Lazer</v>
          </cell>
        </row>
        <row r="17">
          <cell r="B17" t="str">
            <v>Mobilidade Urbana</v>
          </cell>
        </row>
        <row r="18">
          <cell r="B18" t="str">
            <v>Melhoria das Vias Urbanas</v>
          </cell>
        </row>
        <row r="19">
          <cell r="B19" t="str">
            <v>Gestão Ambiental</v>
          </cell>
        </row>
        <row r="20">
          <cell r="B20" t="str">
            <v>Saúde com Qualidade</v>
          </cell>
        </row>
        <row r="21">
          <cell r="B21" t="str">
            <v>Proteção Social Básica</v>
          </cell>
        </row>
        <row r="22">
          <cell r="B22" t="str">
            <v>Gestão dos Serviços de Água</v>
          </cell>
        </row>
        <row r="23">
          <cell r="B23" t="str">
            <v>Manutenção dos Serviços de Água</v>
          </cell>
        </row>
        <row r="24">
          <cell r="B24" t="str">
            <v>RPPS</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s e Atividades"/>
      <sheetName val="Programas"/>
      <sheetName val="Receitas"/>
    </sheetNames>
    <sheetDataSet>
      <sheetData sheetId="0">
        <row r="28">
          <cell r="B28" t="str">
            <v xml:space="preserve">CALENDÁRIO DE EVENTOS </v>
          </cell>
        </row>
        <row r="44">
          <cell r="B44" t="str">
            <v>MANUTENÇÃO DO DEPARTAMENTO DE CULTURA</v>
          </cell>
        </row>
        <row r="46">
          <cell r="B46" t="str">
            <v>MANUTENÇÃO DO DEPARTAMENTO DE DESPORTO</v>
          </cell>
        </row>
        <row r="49">
          <cell r="B49" t="str">
            <v>PROGRAMA LAZER UNINDO GERAÇÕES + PROJETOS ESPECIAIS</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3"/>
  <sheetViews>
    <sheetView topLeftCell="A157" zoomScaleNormal="100" workbookViewId="0">
      <selection activeCell="C246" sqref="C246:E247"/>
    </sheetView>
  </sheetViews>
  <sheetFormatPr defaultRowHeight="12.75" x14ac:dyDescent="0.2"/>
  <cols>
    <col min="1" max="4" width="9.140625" style="1"/>
    <col min="5" max="5" width="19.5703125" style="1" customWidth="1"/>
    <col min="6" max="6" width="15.42578125" style="1" customWidth="1"/>
    <col min="7" max="7" width="15.5703125" style="1" customWidth="1"/>
    <col min="8" max="8" width="16" style="30" customWidth="1"/>
    <col min="9" max="9" width="15.42578125" style="1" customWidth="1"/>
    <col min="10" max="10" width="23.140625" style="1" customWidth="1"/>
    <col min="11" max="16384" width="9.140625" style="1"/>
  </cols>
  <sheetData>
    <row r="1" spans="1:10" x14ac:dyDescent="0.2">
      <c r="A1" s="232" t="s">
        <v>0</v>
      </c>
      <c r="B1" s="232"/>
      <c r="C1" s="232"/>
      <c r="D1" s="232"/>
      <c r="E1" s="232"/>
      <c r="F1" s="232"/>
      <c r="G1" s="232"/>
      <c r="H1" s="232"/>
      <c r="I1" s="232"/>
      <c r="J1" s="232"/>
    </row>
    <row r="2" spans="1:10" ht="12.75" customHeight="1" x14ac:dyDescent="0.2">
      <c r="A2" s="233" t="s">
        <v>275</v>
      </c>
      <c r="B2" s="233"/>
      <c r="C2" s="233"/>
      <c r="D2" s="233"/>
      <c r="E2" s="233"/>
      <c r="F2" s="233"/>
      <c r="G2" s="233"/>
      <c r="H2" s="233"/>
      <c r="I2" s="233"/>
      <c r="J2" s="233"/>
    </row>
    <row r="3" spans="1:10" x14ac:dyDescent="0.2">
      <c r="A3" s="234" t="s">
        <v>1</v>
      </c>
      <c r="B3" s="234"/>
      <c r="C3" s="234"/>
      <c r="D3" s="234"/>
      <c r="E3" s="234"/>
      <c r="F3" s="234"/>
      <c r="G3" s="234"/>
      <c r="H3" s="234"/>
      <c r="I3" s="234"/>
      <c r="J3" s="234"/>
    </row>
    <row r="4" spans="1:10" ht="13.5" customHeight="1" x14ac:dyDescent="0.2">
      <c r="A4" s="200" t="s">
        <v>2</v>
      </c>
      <c r="B4" s="200"/>
      <c r="C4" s="201" t="s">
        <v>3</v>
      </c>
      <c r="D4" s="201"/>
      <c r="E4" s="201"/>
      <c r="F4" s="201"/>
      <c r="G4" s="201"/>
      <c r="H4" s="201"/>
      <c r="I4" s="201"/>
      <c r="J4" s="201"/>
    </row>
    <row r="5" spans="1:10" ht="12.75" customHeight="1" x14ac:dyDescent="0.2">
      <c r="A5" s="200" t="s">
        <v>4</v>
      </c>
      <c r="B5" s="200"/>
      <c r="C5" s="201" t="s">
        <v>5</v>
      </c>
      <c r="D5" s="201"/>
      <c r="E5" s="201"/>
      <c r="F5" s="201"/>
      <c r="G5" s="201"/>
      <c r="H5" s="201"/>
      <c r="I5" s="201"/>
      <c r="J5" s="201"/>
    </row>
    <row r="6" spans="1:10" x14ac:dyDescent="0.2">
      <c r="A6" s="2"/>
      <c r="B6" s="2"/>
      <c r="C6" s="201"/>
      <c r="D6" s="201"/>
      <c r="E6" s="201"/>
      <c r="F6" s="201"/>
      <c r="G6" s="201"/>
      <c r="H6" s="201"/>
      <c r="I6" s="201"/>
      <c r="J6" s="201"/>
    </row>
    <row r="7" spans="1:10" x14ac:dyDescent="0.2">
      <c r="A7" s="2"/>
      <c r="B7" s="2"/>
      <c r="C7" s="201"/>
      <c r="D7" s="201"/>
      <c r="E7" s="201"/>
      <c r="F7" s="201"/>
      <c r="G7" s="201"/>
      <c r="H7" s="201"/>
      <c r="I7" s="201"/>
      <c r="J7" s="201"/>
    </row>
    <row r="8" spans="1:10" x14ac:dyDescent="0.2">
      <c r="A8" s="2"/>
      <c r="B8" s="2"/>
      <c r="C8" s="201"/>
      <c r="D8" s="201"/>
      <c r="E8" s="201"/>
      <c r="F8" s="201"/>
      <c r="G8" s="201"/>
      <c r="H8" s="201"/>
      <c r="I8" s="201"/>
      <c r="J8" s="201"/>
    </row>
    <row r="9" spans="1:10" x14ac:dyDescent="0.2">
      <c r="A9" s="2"/>
      <c r="B9" s="2"/>
      <c r="C9" s="201"/>
      <c r="D9" s="201"/>
      <c r="E9" s="201"/>
      <c r="F9" s="201"/>
      <c r="G9" s="201"/>
      <c r="H9" s="201"/>
      <c r="I9" s="201"/>
      <c r="J9" s="201"/>
    </row>
    <row r="10" spans="1:10" ht="12.75" customHeight="1" x14ac:dyDescent="0.2">
      <c r="A10" s="205" t="s">
        <v>6</v>
      </c>
      <c r="B10" s="205"/>
      <c r="C10" s="205"/>
      <c r="D10" s="205"/>
      <c r="E10" s="101"/>
      <c r="F10" s="4">
        <v>2026</v>
      </c>
      <c r="G10" s="4">
        <v>2027</v>
      </c>
      <c r="H10" s="4">
        <v>2028</v>
      </c>
      <c r="I10" s="4">
        <v>2029</v>
      </c>
      <c r="J10" s="103" t="s">
        <v>7</v>
      </c>
    </row>
    <row r="11" spans="1:10" ht="12.75" customHeight="1" x14ac:dyDescent="0.2">
      <c r="A11" s="203" t="s">
        <v>8</v>
      </c>
      <c r="B11" s="203"/>
      <c r="C11" s="203"/>
      <c r="D11" s="6"/>
      <c r="E11" s="7"/>
      <c r="F11" s="102">
        <f>F15</f>
        <v>1100000</v>
      </c>
      <c r="G11" s="102">
        <f>G15</f>
        <v>800000</v>
      </c>
      <c r="H11" s="102">
        <f>H15</f>
        <v>850000</v>
      </c>
      <c r="I11" s="102">
        <f>I15</f>
        <v>900000</v>
      </c>
      <c r="J11" s="104">
        <f>SUM(F11:I11)</f>
        <v>3650000</v>
      </c>
    </row>
    <row r="12" spans="1:10" x14ac:dyDescent="0.2">
      <c r="A12" s="10"/>
      <c r="B12" s="11"/>
      <c r="C12" s="194"/>
      <c r="D12" s="194"/>
      <c r="E12" s="194"/>
      <c r="F12" s="12"/>
      <c r="G12" s="12"/>
      <c r="H12" s="12"/>
      <c r="I12" s="12"/>
      <c r="J12" s="13"/>
    </row>
    <row r="13" spans="1:10" ht="12.75" customHeight="1" x14ac:dyDescent="0.2">
      <c r="A13" s="195" t="s">
        <v>9</v>
      </c>
      <c r="B13" s="206" t="s">
        <v>10</v>
      </c>
      <c r="C13" s="206" t="s">
        <v>11</v>
      </c>
      <c r="D13" s="206"/>
      <c r="E13" s="206"/>
      <c r="F13" s="177">
        <f>F10</f>
        <v>2026</v>
      </c>
      <c r="G13" s="177">
        <v>2019</v>
      </c>
      <c r="H13" s="177">
        <v>2020</v>
      </c>
      <c r="I13" s="177">
        <v>2021</v>
      </c>
      <c r="J13" s="204" t="s">
        <v>12</v>
      </c>
    </row>
    <row r="14" spans="1:10" x14ac:dyDescent="0.2">
      <c r="A14" s="195"/>
      <c r="B14" s="206"/>
      <c r="C14" s="206"/>
      <c r="D14" s="206"/>
      <c r="E14" s="206"/>
      <c r="F14" s="177"/>
      <c r="G14" s="177"/>
      <c r="H14" s="177"/>
      <c r="I14" s="177"/>
      <c r="J14" s="204"/>
    </row>
    <row r="15" spans="1:10" ht="12.75" customHeight="1" x14ac:dyDescent="0.2">
      <c r="A15" s="14" t="s">
        <v>13</v>
      </c>
      <c r="B15" s="177">
        <v>2001</v>
      </c>
      <c r="C15" s="192" t="s">
        <v>276</v>
      </c>
      <c r="D15" s="192"/>
      <c r="E15" s="192"/>
      <c r="F15" s="231">
        <v>1100000</v>
      </c>
      <c r="G15" s="175">
        <f>'Anexo IV -Projetos e Ativid '!E6</f>
        <v>800000</v>
      </c>
      <c r="H15" s="175">
        <f>'Anexo IV -Projetos e Ativid '!F6</f>
        <v>850000</v>
      </c>
      <c r="I15" s="175">
        <f>'Anexo IV -Projetos e Ativid '!G6</f>
        <v>900000</v>
      </c>
      <c r="J15" s="191">
        <f>SUM(F15:I15)</f>
        <v>3650000</v>
      </c>
    </row>
    <row r="16" spans="1:10" x14ac:dyDescent="0.2">
      <c r="A16" s="105"/>
      <c r="B16" s="177"/>
      <c r="C16" s="192"/>
      <c r="D16" s="192"/>
      <c r="E16" s="192"/>
      <c r="F16" s="231"/>
      <c r="G16" s="175"/>
      <c r="H16" s="175"/>
      <c r="I16" s="175"/>
      <c r="J16" s="191"/>
    </row>
    <row r="18" spans="1:10" ht="13.5" customHeight="1" x14ac:dyDescent="0.2">
      <c r="A18" s="200" t="s">
        <v>2</v>
      </c>
      <c r="B18" s="200"/>
      <c r="C18" s="201" t="s">
        <v>45</v>
      </c>
      <c r="D18" s="201"/>
      <c r="E18" s="201"/>
      <c r="F18" s="201"/>
      <c r="G18" s="201"/>
      <c r="H18" s="201"/>
      <c r="I18" s="201"/>
      <c r="J18" s="201"/>
    </row>
    <row r="19" spans="1:10" ht="12.75" customHeight="1" x14ac:dyDescent="0.2">
      <c r="A19" s="200" t="s">
        <v>4</v>
      </c>
      <c r="B19" s="200"/>
      <c r="C19" s="201" t="s">
        <v>322</v>
      </c>
      <c r="D19" s="201"/>
      <c r="E19" s="201"/>
      <c r="F19" s="201"/>
      <c r="G19" s="201"/>
      <c r="H19" s="201"/>
      <c r="I19" s="201"/>
      <c r="J19" s="201"/>
    </row>
    <row r="20" spans="1:10" x14ac:dyDescent="0.2">
      <c r="A20" s="2"/>
      <c r="B20" s="2"/>
      <c r="C20" s="201"/>
      <c r="D20" s="201"/>
      <c r="E20" s="201"/>
      <c r="F20" s="201"/>
      <c r="G20" s="201"/>
      <c r="H20" s="201"/>
      <c r="I20" s="201"/>
      <c r="J20" s="201"/>
    </row>
    <row r="21" spans="1:10" x14ac:dyDescent="0.2">
      <c r="A21" s="2"/>
      <c r="B21" s="2"/>
      <c r="C21" s="201"/>
      <c r="D21" s="201"/>
      <c r="E21" s="201"/>
      <c r="F21" s="201"/>
      <c r="G21" s="201"/>
      <c r="H21" s="201"/>
      <c r="I21" s="201"/>
      <c r="J21" s="201"/>
    </row>
    <row r="22" spans="1:10" x14ac:dyDescent="0.2">
      <c r="A22" s="2"/>
      <c r="B22" s="2"/>
      <c r="C22" s="201"/>
      <c r="D22" s="201"/>
      <c r="E22" s="201"/>
      <c r="F22" s="201"/>
      <c r="G22" s="201"/>
      <c r="H22" s="201"/>
      <c r="I22" s="201"/>
      <c r="J22" s="201"/>
    </row>
    <row r="23" spans="1:10" x14ac:dyDescent="0.2">
      <c r="A23" s="2"/>
      <c r="B23" s="2"/>
      <c r="C23" s="201"/>
      <c r="D23" s="201"/>
      <c r="E23" s="201"/>
      <c r="F23" s="201"/>
      <c r="G23" s="201"/>
      <c r="H23" s="201"/>
      <c r="I23" s="201"/>
      <c r="J23" s="201"/>
    </row>
    <row r="24" spans="1:10" ht="12.75" customHeight="1" x14ac:dyDescent="0.2">
      <c r="A24" s="230" t="s">
        <v>6</v>
      </c>
      <c r="B24" s="230"/>
      <c r="C24" s="230"/>
      <c r="D24" s="230"/>
      <c r="E24" s="3"/>
      <c r="F24" s="4">
        <v>2026</v>
      </c>
      <c r="G24" s="4">
        <v>2027</v>
      </c>
      <c r="H24" s="34">
        <v>2028</v>
      </c>
      <c r="I24" s="4">
        <v>2029</v>
      </c>
      <c r="J24" s="5" t="s">
        <v>7</v>
      </c>
    </row>
    <row r="25" spans="1:10" ht="12.75" customHeight="1" x14ac:dyDescent="0.2">
      <c r="A25" s="203" t="s">
        <v>8</v>
      </c>
      <c r="B25" s="203"/>
      <c r="C25" s="203"/>
      <c r="D25" s="6"/>
      <c r="E25" s="7"/>
      <c r="F25" s="8">
        <f>F29+F31+F33</f>
        <v>1182000</v>
      </c>
      <c r="G25" s="8">
        <f>G29+G31+G33</f>
        <v>1102000</v>
      </c>
      <c r="H25" s="106">
        <f>H29+H31+H33</f>
        <v>1122000</v>
      </c>
      <c r="I25" s="8">
        <f>I29+I31+I33</f>
        <v>1092000</v>
      </c>
      <c r="J25" s="9">
        <f>SUM(F25:I25)</f>
        <v>4498000</v>
      </c>
    </row>
    <row r="26" spans="1:10" x14ac:dyDescent="0.2">
      <c r="A26" s="10"/>
      <c r="B26" s="11"/>
      <c r="C26" s="194"/>
      <c r="D26" s="194"/>
      <c r="E26" s="194"/>
      <c r="F26" s="12"/>
      <c r="G26" s="12"/>
      <c r="H26" s="35"/>
      <c r="I26" s="12"/>
      <c r="J26" s="13"/>
    </row>
    <row r="27" spans="1:10" ht="12.75" customHeight="1" x14ac:dyDescent="0.2">
      <c r="A27" s="195" t="s">
        <v>9</v>
      </c>
      <c r="B27" s="196" t="s">
        <v>10</v>
      </c>
      <c r="C27" s="196" t="s">
        <v>11</v>
      </c>
      <c r="D27" s="196"/>
      <c r="E27" s="196"/>
      <c r="F27" s="177">
        <f>F24</f>
        <v>2026</v>
      </c>
      <c r="G27" s="177">
        <f>G24</f>
        <v>2027</v>
      </c>
      <c r="H27" s="193">
        <f>H24</f>
        <v>2028</v>
      </c>
      <c r="I27" s="177">
        <f>I24</f>
        <v>2029</v>
      </c>
      <c r="J27" s="197" t="s">
        <v>12</v>
      </c>
    </row>
    <row r="28" spans="1:10" x14ac:dyDescent="0.2">
      <c r="A28" s="195"/>
      <c r="B28" s="196"/>
      <c r="C28" s="196"/>
      <c r="D28" s="196"/>
      <c r="E28" s="196"/>
      <c r="F28" s="177"/>
      <c r="G28" s="177"/>
      <c r="H28" s="193"/>
      <c r="I28" s="177"/>
      <c r="J28" s="197"/>
    </row>
    <row r="29" spans="1:10" ht="12.75" customHeight="1" x14ac:dyDescent="0.2">
      <c r="A29" s="14" t="s">
        <v>13</v>
      </c>
      <c r="B29" s="177">
        <v>2004</v>
      </c>
      <c r="C29" s="192" t="s">
        <v>14</v>
      </c>
      <c r="D29" s="192"/>
      <c r="E29" s="192"/>
      <c r="F29" s="175">
        <f>'Anexo IV -Projetos e Ativid '!D12</f>
        <v>820000</v>
      </c>
      <c r="G29" s="175">
        <f>'Anexo IV -Projetos e Ativid '!E12</f>
        <v>840000</v>
      </c>
      <c r="H29" s="175">
        <f>'Anexo IV -Projetos e Ativid '!F12</f>
        <v>860000</v>
      </c>
      <c r="I29" s="175">
        <f>'Anexo IV -Projetos e Ativid '!G12</f>
        <v>880000</v>
      </c>
      <c r="J29" s="198">
        <f>SUM(F29:I29)</f>
        <v>3400000</v>
      </c>
    </row>
    <row r="30" spans="1:10" x14ac:dyDescent="0.2">
      <c r="A30" s="15"/>
      <c r="B30" s="177"/>
      <c r="C30" s="192"/>
      <c r="D30" s="192"/>
      <c r="E30" s="192"/>
      <c r="F30" s="175"/>
      <c r="G30" s="175"/>
      <c r="H30" s="175"/>
      <c r="I30" s="175"/>
      <c r="J30" s="198"/>
    </row>
    <row r="31" spans="1:10" x14ac:dyDescent="0.2">
      <c r="A31" s="14" t="s">
        <v>13</v>
      </c>
      <c r="B31" s="177">
        <v>2003</v>
      </c>
      <c r="C31" s="192" t="s">
        <v>321</v>
      </c>
      <c r="D31" s="192"/>
      <c r="E31" s="192"/>
      <c r="F31" s="175">
        <f>'Anexo IV -Projetos e Ativid '!D11</f>
        <v>350000</v>
      </c>
      <c r="G31" s="175">
        <f>'Anexo IV -Projetos e Ativid '!E11</f>
        <v>250000</v>
      </c>
      <c r="H31" s="175">
        <f>'Anexo IV -Projetos e Ativid '!F11</f>
        <v>250000</v>
      </c>
      <c r="I31" s="175">
        <f>'Anexo IV -Projetos e Ativid '!G11</f>
        <v>200000</v>
      </c>
      <c r="J31" s="198">
        <f>SUM(F31:I31)</f>
        <v>1050000</v>
      </c>
    </row>
    <row r="32" spans="1:10" x14ac:dyDescent="0.2">
      <c r="A32" s="15"/>
      <c r="B32" s="177"/>
      <c r="C32" s="192"/>
      <c r="D32" s="192"/>
      <c r="E32" s="192"/>
      <c r="F32" s="175"/>
      <c r="G32" s="175"/>
      <c r="H32" s="175"/>
      <c r="I32" s="175"/>
      <c r="J32" s="198"/>
    </row>
    <row r="33" spans="1:10" ht="12.75" customHeight="1" x14ac:dyDescent="0.2">
      <c r="A33" s="14" t="s">
        <v>15</v>
      </c>
      <c r="B33" s="177">
        <v>3017</v>
      </c>
      <c r="C33" s="192" t="s">
        <v>16</v>
      </c>
      <c r="D33" s="192"/>
      <c r="E33" s="192"/>
      <c r="F33" s="175">
        <f>'Anexo IV -Projetos e Ativid '!D13</f>
        <v>12000</v>
      </c>
      <c r="G33" s="175">
        <f>'Anexo IV -Projetos e Ativid '!E13</f>
        <v>12000</v>
      </c>
      <c r="H33" s="175">
        <f>'Anexo IV -Projetos e Ativid '!F13</f>
        <v>12000</v>
      </c>
      <c r="I33" s="175">
        <f>'Anexo IV -Projetos e Ativid '!G13</f>
        <v>12000</v>
      </c>
      <c r="J33" s="198">
        <f>SUM(F33:I33)</f>
        <v>48000</v>
      </c>
    </row>
    <row r="34" spans="1:10" x14ac:dyDescent="0.2">
      <c r="A34" s="15"/>
      <c r="B34" s="177"/>
      <c r="C34" s="192"/>
      <c r="D34" s="192"/>
      <c r="E34" s="192"/>
      <c r="F34" s="175"/>
      <c r="G34" s="175"/>
      <c r="H34" s="175"/>
      <c r="I34" s="175"/>
      <c r="J34" s="198"/>
    </row>
    <row r="35" spans="1:10" ht="13.5" thickBot="1" x14ac:dyDescent="0.25">
      <c r="A35" s="16"/>
      <c r="B35" s="16"/>
      <c r="C35" s="17"/>
      <c r="D35" s="17"/>
      <c r="E35" s="17"/>
      <c r="F35" s="18"/>
      <c r="G35" s="18"/>
      <c r="H35" s="36"/>
      <c r="I35" s="18"/>
      <c r="J35" s="18"/>
    </row>
    <row r="36" spans="1:10" ht="13.5" customHeight="1" thickBot="1" x14ac:dyDescent="0.25">
      <c r="A36" s="200" t="s">
        <v>2</v>
      </c>
      <c r="B36" s="200"/>
      <c r="C36" s="201" t="str">
        <f>'[1]Anexo II - Resumo dos Programas'!B7</f>
        <v>Supervisão e Coordenação Administrativa</v>
      </c>
      <c r="D36" s="201"/>
      <c r="E36" s="201"/>
      <c r="F36" s="201"/>
      <c r="G36" s="201"/>
      <c r="H36" s="201"/>
      <c r="I36" s="201"/>
      <c r="J36" s="201"/>
    </row>
    <row r="37" spans="1:10" ht="12.75" customHeight="1" x14ac:dyDescent="0.2">
      <c r="A37" s="200" t="s">
        <v>4</v>
      </c>
      <c r="B37" s="200"/>
      <c r="C37" s="201" t="s">
        <v>17</v>
      </c>
      <c r="D37" s="201"/>
      <c r="E37" s="201"/>
      <c r="F37" s="201"/>
      <c r="G37" s="201"/>
      <c r="H37" s="201"/>
      <c r="I37" s="201"/>
      <c r="J37" s="201"/>
    </row>
    <row r="38" spans="1:10" x14ac:dyDescent="0.2">
      <c r="A38" s="2"/>
      <c r="B38" s="2"/>
      <c r="C38" s="201"/>
      <c r="D38" s="201"/>
      <c r="E38" s="201"/>
      <c r="F38" s="201"/>
      <c r="G38" s="201"/>
      <c r="H38" s="201"/>
      <c r="I38" s="201"/>
      <c r="J38" s="201"/>
    </row>
    <row r="39" spans="1:10" x14ac:dyDescent="0.2">
      <c r="A39" s="2"/>
      <c r="B39" s="2"/>
      <c r="C39" s="201"/>
      <c r="D39" s="201"/>
      <c r="E39" s="201"/>
      <c r="F39" s="201"/>
      <c r="G39" s="201"/>
      <c r="H39" s="201"/>
      <c r="I39" s="201"/>
      <c r="J39" s="201"/>
    </row>
    <row r="40" spans="1:10" x14ac:dyDescent="0.2">
      <c r="A40" s="2"/>
      <c r="B40" s="2"/>
      <c r="C40" s="201"/>
      <c r="D40" s="201"/>
      <c r="E40" s="201"/>
      <c r="F40" s="201"/>
      <c r="G40" s="201"/>
      <c r="H40" s="201"/>
      <c r="I40" s="201"/>
      <c r="J40" s="201"/>
    </row>
    <row r="41" spans="1:10" x14ac:dyDescent="0.2">
      <c r="A41" s="2"/>
      <c r="B41" s="2"/>
      <c r="C41" s="201"/>
      <c r="D41" s="201"/>
      <c r="E41" s="201"/>
      <c r="F41" s="201"/>
      <c r="G41" s="201"/>
      <c r="H41" s="201"/>
      <c r="I41" s="201"/>
      <c r="J41" s="201"/>
    </row>
    <row r="42" spans="1:10" ht="12.75" customHeight="1" x14ac:dyDescent="0.2">
      <c r="A42" s="202" t="s">
        <v>6</v>
      </c>
      <c r="B42" s="202"/>
      <c r="C42" s="202"/>
      <c r="D42" s="202"/>
      <c r="E42" s="3"/>
      <c r="F42" s="4">
        <v>2026</v>
      </c>
      <c r="G42" s="4">
        <v>2027</v>
      </c>
      <c r="H42" s="34">
        <v>2028</v>
      </c>
      <c r="I42" s="4">
        <v>2029</v>
      </c>
      <c r="J42" s="5" t="s">
        <v>7</v>
      </c>
    </row>
    <row r="43" spans="1:10" ht="12.75" customHeight="1" x14ac:dyDescent="0.2">
      <c r="A43" s="203" t="s">
        <v>8</v>
      </c>
      <c r="B43" s="203"/>
      <c r="C43" s="203"/>
      <c r="D43" s="6"/>
      <c r="E43" s="7"/>
      <c r="F43" s="8">
        <f>F47+F49+F51+F53+F55+F57+F59</f>
        <v>15295000</v>
      </c>
      <c r="G43" s="8">
        <f>G47+G49+G51+G53+G55+G57+G59</f>
        <v>15770000</v>
      </c>
      <c r="H43" s="8">
        <f>H47+H49+H51+H53+H55+H57+H59</f>
        <v>16245000</v>
      </c>
      <c r="I43" s="8">
        <f>I47+I49+I51+I53+I55+I57+I59</f>
        <v>16720000</v>
      </c>
      <c r="J43" s="9">
        <f>SUM(F43:I43)</f>
        <v>64030000</v>
      </c>
    </row>
    <row r="44" spans="1:10" x14ac:dyDescent="0.2">
      <c r="A44" s="10"/>
      <c r="B44" s="11"/>
      <c r="C44" s="194"/>
      <c r="D44" s="194"/>
      <c r="E44" s="194"/>
      <c r="F44" s="12"/>
      <c r="G44" s="12"/>
      <c r="H44" s="35"/>
      <c r="I44" s="12"/>
      <c r="J44" s="13"/>
    </row>
    <row r="45" spans="1:10" ht="12.75" customHeight="1" x14ac:dyDescent="0.2">
      <c r="A45" s="195" t="s">
        <v>9</v>
      </c>
      <c r="B45" s="196" t="s">
        <v>10</v>
      </c>
      <c r="C45" s="196" t="s">
        <v>11</v>
      </c>
      <c r="D45" s="196"/>
      <c r="E45" s="196"/>
      <c r="F45" s="177">
        <f>F42</f>
        <v>2026</v>
      </c>
      <c r="G45" s="177">
        <f>G42</f>
        <v>2027</v>
      </c>
      <c r="H45" s="193">
        <f>H42</f>
        <v>2028</v>
      </c>
      <c r="I45" s="177">
        <f>I42</f>
        <v>2029</v>
      </c>
      <c r="J45" s="197" t="s">
        <v>12</v>
      </c>
    </row>
    <row r="46" spans="1:10" x14ac:dyDescent="0.2">
      <c r="A46" s="195"/>
      <c r="B46" s="196"/>
      <c r="C46" s="196"/>
      <c r="D46" s="196"/>
      <c r="E46" s="196"/>
      <c r="F46" s="177"/>
      <c r="G46" s="177"/>
      <c r="H46" s="193"/>
      <c r="I46" s="177"/>
      <c r="J46" s="197"/>
    </row>
    <row r="47" spans="1:10" ht="13.5" thickBot="1" x14ac:dyDescent="0.25">
      <c r="A47" s="14" t="s">
        <v>13</v>
      </c>
      <c r="B47" s="177">
        <v>2002</v>
      </c>
      <c r="C47" s="192" t="s">
        <v>196</v>
      </c>
      <c r="D47" s="192"/>
      <c r="E47" s="192"/>
      <c r="F47" s="175">
        <f>'Anexo IV -Projetos e Ativid '!D10</f>
        <v>1210000</v>
      </c>
      <c r="G47" s="175">
        <f>'Anexo IV -Projetos e Ativid '!E10</f>
        <v>1260000</v>
      </c>
      <c r="H47" s="175">
        <f>'Anexo IV -Projetos e Ativid '!F10</f>
        <v>1310000</v>
      </c>
      <c r="I47" s="175">
        <f>'Anexo IV -Projetos e Ativid '!G10</f>
        <v>1360000</v>
      </c>
      <c r="J47" s="198">
        <f>SUM(F47:I47)</f>
        <v>5140000</v>
      </c>
    </row>
    <row r="48" spans="1:10" ht="13.5" thickBot="1" x14ac:dyDescent="0.25">
      <c r="A48" s="15"/>
      <c r="B48" s="177"/>
      <c r="C48" s="192"/>
      <c r="D48" s="192"/>
      <c r="E48" s="192"/>
      <c r="F48" s="175"/>
      <c r="G48" s="175"/>
      <c r="H48" s="175"/>
      <c r="I48" s="175"/>
      <c r="J48" s="198"/>
    </row>
    <row r="49" spans="1:10" ht="13.5" thickBot="1" x14ac:dyDescent="0.25">
      <c r="A49" s="14" t="s">
        <v>13</v>
      </c>
      <c r="B49" s="177">
        <v>2007</v>
      </c>
      <c r="C49" s="192" t="s">
        <v>197</v>
      </c>
      <c r="D49" s="192"/>
      <c r="E49" s="192"/>
      <c r="F49" s="175">
        <f>'Anexo IV -Projetos e Ativid '!D17</f>
        <v>3780000</v>
      </c>
      <c r="G49" s="175">
        <f>'Anexo IV -Projetos e Ativid '!E17</f>
        <v>3910000</v>
      </c>
      <c r="H49" s="175">
        <f>'Anexo IV -Projetos e Ativid '!F17</f>
        <v>4040000</v>
      </c>
      <c r="I49" s="175">
        <f>'Anexo IV -Projetos e Ativid '!G17</f>
        <v>4170000</v>
      </c>
      <c r="J49" s="198">
        <f>SUM(F49:I49)</f>
        <v>15900000</v>
      </c>
    </row>
    <row r="50" spans="1:10" ht="13.5" thickBot="1" x14ac:dyDescent="0.25">
      <c r="A50" s="15"/>
      <c r="B50" s="177"/>
      <c r="C50" s="192"/>
      <c r="D50" s="192"/>
      <c r="E50" s="192"/>
      <c r="F50" s="175"/>
      <c r="G50" s="175"/>
      <c r="H50" s="175"/>
      <c r="I50" s="175"/>
      <c r="J50" s="198"/>
    </row>
    <row r="51" spans="1:10" ht="13.5" thickBot="1" x14ac:dyDescent="0.25">
      <c r="A51" s="14" t="s">
        <v>13</v>
      </c>
      <c r="B51" s="177">
        <v>2011</v>
      </c>
      <c r="C51" s="192" t="s">
        <v>204</v>
      </c>
      <c r="D51" s="192"/>
      <c r="E51" s="192"/>
      <c r="F51" s="175">
        <f>'Anexo IV -Projetos e Ativid '!D28</f>
        <v>955000</v>
      </c>
      <c r="G51" s="175">
        <f>'Anexo IV -Projetos e Ativid '!E28</f>
        <v>1010000</v>
      </c>
      <c r="H51" s="175">
        <f>'Anexo IV -Projetos e Ativid '!F28</f>
        <v>1065000</v>
      </c>
      <c r="I51" s="175">
        <f>'Anexo IV -Projetos e Ativid '!G28</f>
        <v>1120000</v>
      </c>
      <c r="J51" s="198">
        <f>SUM(F51:I51)</f>
        <v>4150000</v>
      </c>
    </row>
    <row r="52" spans="1:10" ht="13.5" thickBot="1" x14ac:dyDescent="0.25">
      <c r="A52" s="15"/>
      <c r="B52" s="177"/>
      <c r="C52" s="192"/>
      <c r="D52" s="192"/>
      <c r="E52" s="192"/>
      <c r="F52" s="175"/>
      <c r="G52" s="175"/>
      <c r="H52" s="175"/>
      <c r="I52" s="175"/>
      <c r="J52" s="198"/>
    </row>
    <row r="53" spans="1:10" ht="13.5" thickBot="1" x14ac:dyDescent="0.25">
      <c r="A53" s="14" t="s">
        <v>13</v>
      </c>
      <c r="B53" s="177">
        <v>2041</v>
      </c>
      <c r="C53" s="192" t="s">
        <v>232</v>
      </c>
      <c r="D53" s="192"/>
      <c r="E53" s="192"/>
      <c r="F53" s="175">
        <f>'Anexo IV -Projetos e Ativid '!D59</f>
        <v>7250000</v>
      </c>
      <c r="G53" s="175">
        <f>'Anexo IV -Projetos e Ativid '!E59</f>
        <v>7400000</v>
      </c>
      <c r="H53" s="175">
        <f>'Anexo IV -Projetos e Ativid '!F59</f>
        <v>7550000</v>
      </c>
      <c r="I53" s="175">
        <f>'Anexo IV -Projetos e Ativid '!G59</f>
        <v>7700000</v>
      </c>
      <c r="J53" s="198">
        <f>SUM(F53:I53)</f>
        <v>29900000</v>
      </c>
    </row>
    <row r="54" spans="1:10" ht="13.5" thickBot="1" x14ac:dyDescent="0.25">
      <c r="A54" s="15"/>
      <c r="B54" s="177"/>
      <c r="C54" s="192"/>
      <c r="D54" s="192"/>
      <c r="E54" s="192"/>
      <c r="F54" s="175"/>
      <c r="G54" s="175"/>
      <c r="H54" s="175"/>
      <c r="I54" s="175"/>
      <c r="J54" s="198"/>
    </row>
    <row r="55" spans="1:10" ht="13.5" thickBot="1" x14ac:dyDescent="0.25">
      <c r="A55" s="14" t="s">
        <v>13</v>
      </c>
      <c r="B55" s="177">
        <v>2057</v>
      </c>
      <c r="C55" s="192" t="s">
        <v>244</v>
      </c>
      <c r="D55" s="192"/>
      <c r="E55" s="192"/>
      <c r="F55" s="176">
        <f>'Anexo IV -Projetos e Ativid '!D79</f>
        <v>1540000</v>
      </c>
      <c r="G55" s="176">
        <f>'Anexo IV -Projetos e Ativid '!E79</f>
        <v>1580000</v>
      </c>
      <c r="H55" s="176">
        <f>'Anexo IV -Projetos e Ativid '!F79</f>
        <v>1620000</v>
      </c>
      <c r="I55" s="176">
        <f>'Anexo IV -Projetos e Ativid '!G79</f>
        <v>1660000</v>
      </c>
      <c r="J55" s="198">
        <f>SUM(F55:I55)</f>
        <v>6400000</v>
      </c>
    </row>
    <row r="56" spans="1:10" ht="13.5" thickBot="1" x14ac:dyDescent="0.25">
      <c r="A56" s="15"/>
      <c r="B56" s="177"/>
      <c r="C56" s="192"/>
      <c r="D56" s="192"/>
      <c r="E56" s="192"/>
      <c r="F56" s="176"/>
      <c r="G56" s="176"/>
      <c r="H56" s="176"/>
      <c r="I56" s="176"/>
      <c r="J56" s="198"/>
    </row>
    <row r="57" spans="1:10" ht="12" customHeight="1" thickBot="1" x14ac:dyDescent="0.25">
      <c r="A57" s="14" t="s">
        <v>13</v>
      </c>
      <c r="B57" s="177">
        <v>2093</v>
      </c>
      <c r="C57" s="178" t="str">
        <f>'Anexo IV -Projetos e Ativid '!C80</f>
        <v>MANUTENÇÃO DA ADMINISTRAÇÃO TRIBUTÁRIA</v>
      </c>
      <c r="D57" s="178"/>
      <c r="E57" s="178"/>
      <c r="F57" s="176">
        <f>'Anexo IV -Projetos e Ativid '!D80</f>
        <v>280000</v>
      </c>
      <c r="G57" s="176">
        <f>'Anexo IV -Projetos e Ativid '!E80</f>
        <v>310000</v>
      </c>
      <c r="H57" s="176">
        <f>'Anexo IV -Projetos e Ativid '!F80</f>
        <v>340000</v>
      </c>
      <c r="I57" s="176">
        <f>'Anexo IV -Projetos e Ativid '!G80</f>
        <v>370000</v>
      </c>
      <c r="J57" s="198">
        <f>SUM(F57:I57)</f>
        <v>1300000</v>
      </c>
    </row>
    <row r="58" spans="1:10" ht="15.75" customHeight="1" thickBot="1" x14ac:dyDescent="0.25">
      <c r="A58" s="15"/>
      <c r="B58" s="177"/>
      <c r="C58" s="178"/>
      <c r="D58" s="178"/>
      <c r="E58" s="178"/>
      <c r="F58" s="176"/>
      <c r="G58" s="176"/>
      <c r="H58" s="176"/>
      <c r="I58" s="176"/>
      <c r="J58" s="198"/>
    </row>
    <row r="59" spans="1:10" ht="15.75" customHeight="1" thickBot="1" x14ac:dyDescent="0.25">
      <c r="A59" s="14" t="s">
        <v>13</v>
      </c>
      <c r="B59" s="177">
        <v>2136</v>
      </c>
      <c r="C59" s="178" t="str">
        <f>'Anexo IV -Projetos e Ativid '!C18</f>
        <v>MANUTENÇÃO DO CONTROLE INTERNO</v>
      </c>
      <c r="D59" s="178"/>
      <c r="E59" s="178"/>
      <c r="F59" s="176">
        <f>'Anexo IV -Projetos e Ativid '!D18</f>
        <v>280000</v>
      </c>
      <c r="G59" s="176">
        <f>'Anexo IV -Projetos e Ativid '!E18</f>
        <v>300000</v>
      </c>
      <c r="H59" s="176">
        <f>'Anexo IV -Projetos e Ativid '!F18</f>
        <v>320000</v>
      </c>
      <c r="I59" s="176">
        <f>'Anexo IV -Projetos e Ativid '!G18</f>
        <v>340000</v>
      </c>
      <c r="J59" s="198">
        <f>SUM(F59:I59)</f>
        <v>1240000</v>
      </c>
    </row>
    <row r="60" spans="1:10" ht="15.75" customHeight="1" thickBot="1" x14ac:dyDescent="0.25">
      <c r="A60" s="15"/>
      <c r="B60" s="177"/>
      <c r="C60" s="178"/>
      <c r="D60" s="178"/>
      <c r="E60" s="178"/>
      <c r="F60" s="176"/>
      <c r="G60" s="176"/>
      <c r="H60" s="176"/>
      <c r="I60" s="176"/>
      <c r="J60" s="198"/>
    </row>
    <row r="61" spans="1:10" ht="15.75" customHeight="1" thickBot="1" x14ac:dyDescent="0.25">
      <c r="A61" s="16"/>
      <c r="B61" s="16"/>
      <c r="C61" s="17"/>
      <c r="D61" s="17"/>
      <c r="E61" s="17"/>
      <c r="F61" s="18"/>
      <c r="G61" s="18"/>
      <c r="H61" s="1"/>
    </row>
    <row r="62" spans="1:10" ht="13.5" customHeight="1" thickBot="1" x14ac:dyDescent="0.25">
      <c r="A62" s="200" t="s">
        <v>2</v>
      </c>
      <c r="B62" s="200"/>
      <c r="C62" s="201" t="s">
        <v>47</v>
      </c>
      <c r="D62" s="201"/>
      <c r="E62" s="201"/>
      <c r="F62" s="201"/>
      <c r="G62" s="201"/>
      <c r="H62" s="201"/>
      <c r="I62" s="201"/>
      <c r="J62" s="201"/>
    </row>
    <row r="63" spans="1:10" ht="12.75" customHeight="1" thickBot="1" x14ac:dyDescent="0.25">
      <c r="A63" s="200" t="s">
        <v>4</v>
      </c>
      <c r="B63" s="200"/>
      <c r="C63" s="201" t="s">
        <v>18</v>
      </c>
      <c r="D63" s="201"/>
      <c r="E63" s="201"/>
      <c r="F63" s="201"/>
      <c r="G63" s="201"/>
      <c r="H63" s="201"/>
      <c r="I63" s="201"/>
      <c r="J63" s="201"/>
    </row>
    <row r="64" spans="1:10" ht="13.5" thickBot="1" x14ac:dyDescent="0.25">
      <c r="A64" s="2"/>
      <c r="B64" s="2"/>
      <c r="C64" s="201"/>
      <c r="D64" s="201"/>
      <c r="E64" s="201"/>
      <c r="F64" s="201"/>
      <c r="G64" s="201"/>
      <c r="H64" s="201"/>
      <c r="I64" s="201"/>
      <c r="J64" s="201"/>
    </row>
    <row r="65" spans="1:10" x14ac:dyDescent="0.2">
      <c r="A65" s="2"/>
      <c r="B65" s="2"/>
      <c r="C65" s="201"/>
      <c r="D65" s="201"/>
      <c r="E65" s="201"/>
      <c r="F65" s="201"/>
      <c r="G65" s="201"/>
      <c r="H65" s="201"/>
      <c r="I65" s="201"/>
      <c r="J65" s="201"/>
    </row>
    <row r="66" spans="1:10" x14ac:dyDescent="0.2">
      <c r="A66" s="2"/>
      <c r="B66" s="2"/>
      <c r="C66" s="201"/>
      <c r="D66" s="201"/>
      <c r="E66" s="201"/>
      <c r="F66" s="201"/>
      <c r="G66" s="201"/>
      <c r="H66" s="201"/>
      <c r="I66" s="201"/>
      <c r="J66" s="201"/>
    </row>
    <row r="67" spans="1:10" x14ac:dyDescent="0.2">
      <c r="A67" s="2"/>
      <c r="B67" s="2"/>
      <c r="C67" s="201"/>
      <c r="D67" s="201"/>
      <c r="E67" s="201"/>
      <c r="F67" s="201"/>
      <c r="G67" s="201"/>
      <c r="H67" s="201"/>
      <c r="I67" s="201"/>
      <c r="J67" s="201"/>
    </row>
    <row r="68" spans="1:10" ht="12.75" customHeight="1" x14ac:dyDescent="0.2">
      <c r="A68" s="202" t="s">
        <v>6</v>
      </c>
      <c r="B68" s="202"/>
      <c r="C68" s="202"/>
      <c r="D68" s="202"/>
      <c r="E68" s="3"/>
      <c r="F68" s="4">
        <v>2026</v>
      </c>
      <c r="G68" s="4">
        <v>2027</v>
      </c>
      <c r="H68" s="34">
        <v>2028</v>
      </c>
      <c r="I68" s="4">
        <v>2029</v>
      </c>
      <c r="J68" s="5" t="s">
        <v>7</v>
      </c>
    </row>
    <row r="69" spans="1:10" ht="12.75" customHeight="1" x14ac:dyDescent="0.2">
      <c r="A69" s="203" t="s">
        <v>8</v>
      </c>
      <c r="B69" s="203"/>
      <c r="C69" s="203"/>
      <c r="D69" s="6"/>
      <c r="E69" s="7"/>
      <c r="F69" s="8">
        <f>SUM(F73:F88)</f>
        <v>1322500</v>
      </c>
      <c r="G69" s="8">
        <f>SUM(G73:G88)</f>
        <v>817500</v>
      </c>
      <c r="H69" s="106">
        <f>SUM(H73:H88)</f>
        <v>697500</v>
      </c>
      <c r="I69" s="8">
        <f>SUM(I73:I88)</f>
        <v>717500</v>
      </c>
      <c r="J69" s="9">
        <f>SUM(F69:I69)</f>
        <v>3555000</v>
      </c>
    </row>
    <row r="70" spans="1:10" x14ac:dyDescent="0.2">
      <c r="A70" s="10"/>
      <c r="B70" s="11"/>
      <c r="C70" s="194"/>
      <c r="D70" s="194"/>
      <c r="E70" s="194"/>
      <c r="F70" s="12"/>
      <c r="G70" s="12"/>
      <c r="H70" s="35"/>
      <c r="I70" s="12"/>
      <c r="J70" s="13"/>
    </row>
    <row r="71" spans="1:10" ht="12.75" customHeight="1" x14ac:dyDescent="0.2">
      <c r="A71" s="195" t="s">
        <v>9</v>
      </c>
      <c r="B71" s="196" t="s">
        <v>10</v>
      </c>
      <c r="C71" s="196" t="s">
        <v>11</v>
      </c>
      <c r="D71" s="196"/>
      <c r="E71" s="196"/>
      <c r="F71" s="177">
        <f>F68</f>
        <v>2026</v>
      </c>
      <c r="G71" s="177">
        <f>G68</f>
        <v>2027</v>
      </c>
      <c r="H71" s="193">
        <f>H68</f>
        <v>2028</v>
      </c>
      <c r="I71" s="177">
        <f>I68</f>
        <v>2029</v>
      </c>
      <c r="J71" s="197" t="s">
        <v>12</v>
      </c>
    </row>
    <row r="72" spans="1:10" x14ac:dyDescent="0.2">
      <c r="A72" s="195"/>
      <c r="B72" s="196"/>
      <c r="C72" s="196"/>
      <c r="D72" s="196"/>
      <c r="E72" s="196"/>
      <c r="F72" s="177"/>
      <c r="G72" s="177"/>
      <c r="H72" s="193"/>
      <c r="I72" s="177"/>
      <c r="J72" s="197"/>
    </row>
    <row r="73" spans="1:10" x14ac:dyDescent="0.2">
      <c r="A73" s="14" t="s">
        <v>15</v>
      </c>
      <c r="B73" s="177">
        <v>3024</v>
      </c>
      <c r="C73" s="192" t="str">
        <f>'Anexo IV -Projetos e Ativid '!C22</f>
        <v>IMPLANTAÇÃO DE ENERGIA FOTOVOLTAICA</v>
      </c>
      <c r="D73" s="192"/>
      <c r="E73" s="192"/>
      <c r="F73" s="175">
        <f>'Anexo IV -Projetos e Ativid '!D22</f>
        <v>10000</v>
      </c>
      <c r="G73" s="175">
        <f>'Anexo IV -Projetos e Ativid '!E22</f>
        <v>10000</v>
      </c>
      <c r="H73" s="175">
        <f>'Anexo IV -Projetos e Ativid '!F22</f>
        <v>10000</v>
      </c>
      <c r="I73" s="175">
        <f>'Anexo IV -Projetos e Ativid '!G22</f>
        <v>10000</v>
      </c>
      <c r="J73" s="175">
        <f>SUM(F73:I73)</f>
        <v>40000</v>
      </c>
    </row>
    <row r="74" spans="1:10" ht="13.5" thickBot="1" x14ac:dyDescent="0.25">
      <c r="A74" s="15"/>
      <c r="B74" s="177"/>
      <c r="C74" s="192"/>
      <c r="D74" s="192"/>
      <c r="E74" s="192"/>
      <c r="F74" s="175"/>
      <c r="G74" s="175"/>
      <c r="H74" s="175"/>
      <c r="I74" s="175"/>
      <c r="J74" s="175"/>
    </row>
    <row r="75" spans="1:10" ht="13.5" thickBot="1" x14ac:dyDescent="0.25">
      <c r="A75" s="14" t="s">
        <v>15</v>
      </c>
      <c r="B75" s="177">
        <v>3003</v>
      </c>
      <c r="C75" s="192" t="s">
        <v>198</v>
      </c>
      <c r="D75" s="192"/>
      <c r="E75" s="192"/>
      <c r="F75" s="175">
        <f>'Anexo IV -Projetos e Ativid '!D19</f>
        <v>10000</v>
      </c>
      <c r="G75" s="175">
        <f>'Anexo IV -Projetos e Ativid '!E19</f>
        <v>10000</v>
      </c>
      <c r="H75" s="175">
        <f>'Anexo IV -Projetos e Ativid '!F19</f>
        <v>10000</v>
      </c>
      <c r="I75" s="175">
        <f>'Anexo IV -Projetos e Ativid '!G19</f>
        <v>10000</v>
      </c>
      <c r="J75" s="175">
        <f>SUM(F75:I75)</f>
        <v>40000</v>
      </c>
    </row>
    <row r="76" spans="1:10" ht="13.5" thickBot="1" x14ac:dyDescent="0.25">
      <c r="A76" s="15"/>
      <c r="B76" s="177"/>
      <c r="C76" s="192"/>
      <c r="D76" s="192"/>
      <c r="E76" s="192"/>
      <c r="F76" s="175"/>
      <c r="G76" s="175"/>
      <c r="H76" s="175"/>
      <c r="I76" s="175"/>
      <c r="J76" s="175"/>
    </row>
    <row r="77" spans="1:10" ht="13.5" thickBot="1" x14ac:dyDescent="0.25">
      <c r="A77" s="14" t="s">
        <v>15</v>
      </c>
      <c r="B77" s="177">
        <v>3020</v>
      </c>
      <c r="C77" s="192" t="s">
        <v>199</v>
      </c>
      <c r="D77" s="192"/>
      <c r="E77" s="192"/>
      <c r="F77" s="175">
        <f>'Anexo IV -Projetos e Ativid '!D20</f>
        <v>462500</v>
      </c>
      <c r="G77" s="175">
        <f>'Anexo IV -Projetos e Ativid '!E20</f>
        <v>167500</v>
      </c>
      <c r="H77" s="175">
        <f>'Anexo IV -Projetos e Ativid '!F20</f>
        <v>187500</v>
      </c>
      <c r="I77" s="175">
        <f>'Anexo IV -Projetos e Ativid '!G20</f>
        <v>207500</v>
      </c>
      <c r="J77" s="175">
        <f>SUM(F77:I77)</f>
        <v>1025000</v>
      </c>
    </row>
    <row r="78" spans="1:10" ht="13.5" thickBot="1" x14ac:dyDescent="0.25">
      <c r="A78" s="15"/>
      <c r="B78" s="177"/>
      <c r="C78" s="192"/>
      <c r="D78" s="192"/>
      <c r="E78" s="192"/>
      <c r="F78" s="175"/>
      <c r="G78" s="175"/>
      <c r="H78" s="175"/>
      <c r="I78" s="175"/>
      <c r="J78" s="175"/>
    </row>
    <row r="79" spans="1:10" ht="12.75" customHeight="1" thickBot="1" x14ac:dyDescent="0.25">
      <c r="A79" s="14" t="s">
        <v>15</v>
      </c>
      <c r="B79" s="177">
        <v>3020</v>
      </c>
      <c r="C79" s="192" t="s">
        <v>19</v>
      </c>
      <c r="D79" s="192"/>
      <c r="E79" s="192"/>
      <c r="F79" s="175">
        <f>'Anexo IV -Projetos e Ativid '!D53+'Anexo IV -Projetos e Ativid '!D54+'Anexo IV -Projetos e Ativid '!D55</f>
        <v>230000</v>
      </c>
      <c r="G79" s="175">
        <f>'Anexo IV -Projetos e Ativid '!E53+'Anexo IV -Projetos e Ativid '!E54+'Anexo IV -Projetos e Ativid '!E55</f>
        <v>30000</v>
      </c>
      <c r="H79" s="175">
        <f>'Anexo IV -Projetos e Ativid '!F53+'Anexo IV -Projetos e Ativid '!F54+'Anexo IV -Projetos e Ativid '!F55</f>
        <v>30000</v>
      </c>
      <c r="I79" s="175">
        <f>'Anexo IV -Projetos e Ativid '!G53+'Anexo IV -Projetos e Ativid '!G54+'Anexo IV -Projetos e Ativid '!G55</f>
        <v>30000</v>
      </c>
      <c r="J79" s="175">
        <f>SUM(F79:I79)</f>
        <v>320000</v>
      </c>
    </row>
    <row r="80" spans="1:10" ht="13.5" thickBot="1" x14ac:dyDescent="0.25">
      <c r="A80" s="15"/>
      <c r="B80" s="177"/>
      <c r="C80" s="192"/>
      <c r="D80" s="192"/>
      <c r="E80" s="192"/>
      <c r="F80" s="175"/>
      <c r="G80" s="175"/>
      <c r="H80" s="175"/>
      <c r="I80" s="175"/>
      <c r="J80" s="175"/>
    </row>
    <row r="81" spans="1:10" ht="13.5" thickBot="1" x14ac:dyDescent="0.25">
      <c r="A81" s="14" t="s">
        <v>15</v>
      </c>
      <c r="B81" s="177">
        <v>3021</v>
      </c>
      <c r="C81" s="192" t="s">
        <v>200</v>
      </c>
      <c r="D81" s="192"/>
      <c r="E81" s="192"/>
      <c r="F81" s="175">
        <f>'Anexo IV -Projetos e Ativid '!D21</f>
        <v>230000</v>
      </c>
      <c r="G81" s="175">
        <f>'Anexo IV -Projetos e Ativid '!E21</f>
        <v>300000</v>
      </c>
      <c r="H81" s="175">
        <f>'Anexo IV -Projetos e Ativid '!F21</f>
        <v>250000</v>
      </c>
      <c r="I81" s="175">
        <f>'Anexo IV -Projetos e Ativid '!G21</f>
        <v>250000</v>
      </c>
      <c r="J81" s="175">
        <f>SUM(F81:I81)</f>
        <v>1030000</v>
      </c>
    </row>
    <row r="82" spans="1:10" ht="13.5" thickBot="1" x14ac:dyDescent="0.25">
      <c r="A82" s="15"/>
      <c r="B82" s="177"/>
      <c r="C82" s="192"/>
      <c r="D82" s="192"/>
      <c r="E82" s="192"/>
      <c r="F82" s="175"/>
      <c r="G82" s="175"/>
      <c r="H82" s="175"/>
      <c r="I82" s="175"/>
      <c r="J82" s="175"/>
    </row>
    <row r="83" spans="1:10" ht="13.5" thickBot="1" x14ac:dyDescent="0.25">
      <c r="A83" s="14" t="s">
        <v>13</v>
      </c>
      <c r="B83" s="177">
        <v>2059</v>
      </c>
      <c r="C83" s="192" t="s">
        <v>297</v>
      </c>
      <c r="D83" s="192"/>
      <c r="E83" s="192"/>
      <c r="F83" s="175">
        <f>'Anexo IV -Projetos e Ativid '!D81</f>
        <v>50000</v>
      </c>
      <c r="G83" s="175">
        <f>'Anexo IV -Projetos e Ativid '!E81</f>
        <v>50000</v>
      </c>
      <c r="H83" s="175">
        <f>'Anexo IV -Projetos e Ativid '!F81</f>
        <v>50000</v>
      </c>
      <c r="I83" s="175">
        <f>'Anexo IV -Projetos e Ativid '!G81</f>
        <v>50000</v>
      </c>
      <c r="J83" s="175">
        <f>SUM(F83:I83)</f>
        <v>200000</v>
      </c>
    </row>
    <row r="84" spans="1:10" ht="13.5" thickBot="1" x14ac:dyDescent="0.25">
      <c r="A84" s="15"/>
      <c r="B84" s="177"/>
      <c r="C84" s="192"/>
      <c r="D84" s="192"/>
      <c r="E84" s="192"/>
      <c r="F84" s="175"/>
      <c r="G84" s="175"/>
      <c r="H84" s="175"/>
      <c r="I84" s="175"/>
      <c r="J84" s="175"/>
    </row>
    <row r="85" spans="1:10" ht="13.5" thickBot="1" x14ac:dyDescent="0.25">
      <c r="A85" s="14" t="s">
        <v>15</v>
      </c>
      <c r="B85" s="177">
        <v>3025</v>
      </c>
      <c r="C85" s="192" t="str">
        <f>'Anexo IV -Projetos e Ativid '!C23</f>
        <v>GESTÃO DE INFRAESTRUTURA DE TI</v>
      </c>
      <c r="D85" s="192"/>
      <c r="E85" s="192"/>
      <c r="F85" s="175">
        <f>'Anexo IV -Projetos e Ativid '!D23</f>
        <v>300000</v>
      </c>
      <c r="G85" s="175">
        <f>'Anexo IV -Projetos e Ativid '!E23</f>
        <v>240000</v>
      </c>
      <c r="H85" s="175">
        <f>'Anexo IV -Projetos e Ativid '!F23</f>
        <v>150000</v>
      </c>
      <c r="I85" s="175">
        <f>'Anexo IV -Projetos e Ativid '!G23</f>
        <v>150000</v>
      </c>
      <c r="J85" s="175">
        <f>SUM(F85:I85)</f>
        <v>840000</v>
      </c>
    </row>
    <row r="86" spans="1:10" ht="13.5" thickBot="1" x14ac:dyDescent="0.25">
      <c r="A86" s="15"/>
      <c r="B86" s="177"/>
      <c r="C86" s="192"/>
      <c r="D86" s="192"/>
      <c r="E86" s="192"/>
      <c r="F86" s="175"/>
      <c r="G86" s="175"/>
      <c r="H86" s="175"/>
      <c r="I86" s="175"/>
      <c r="J86" s="175"/>
    </row>
    <row r="87" spans="1:10" x14ac:dyDescent="0.2">
      <c r="A87" s="14" t="s">
        <v>13</v>
      </c>
      <c r="B87" s="177">
        <v>2096</v>
      </c>
      <c r="C87" s="192" t="str">
        <f>'Anexo IV -Projetos e Ativid '!C24</f>
        <v>DESENVOLVIMENTO PROFISSIONAL SERVIDOR</v>
      </c>
      <c r="D87" s="192"/>
      <c r="E87" s="192"/>
      <c r="F87" s="175">
        <f>'Anexo IV -Projetos e Ativid '!D24</f>
        <v>30000</v>
      </c>
      <c r="G87" s="175">
        <f>'Anexo IV -Projetos e Ativid '!E24</f>
        <v>10000</v>
      </c>
      <c r="H87" s="175">
        <f>'Anexo IV -Projetos e Ativid '!F24</f>
        <v>10000</v>
      </c>
      <c r="I87" s="175">
        <f>'Anexo IV -Projetos e Ativid '!G24</f>
        <v>10000</v>
      </c>
      <c r="J87" s="175">
        <f>SUM(F87:I87)</f>
        <v>60000</v>
      </c>
    </row>
    <row r="88" spans="1:10" x14ac:dyDescent="0.2">
      <c r="A88" s="15"/>
      <c r="B88" s="177"/>
      <c r="C88" s="192"/>
      <c r="D88" s="192"/>
      <c r="E88" s="192"/>
      <c r="F88" s="175"/>
      <c r="G88" s="175"/>
      <c r="H88" s="175"/>
      <c r="I88" s="175"/>
      <c r="J88" s="175"/>
    </row>
    <row r="90" spans="1:10" ht="13.5" customHeight="1" x14ac:dyDescent="0.2">
      <c r="A90" s="200" t="s">
        <v>2</v>
      </c>
      <c r="B90" s="200"/>
      <c r="C90" s="201" t="str">
        <f>'[1]Anexo II - Resumo dos Programas'!B9</f>
        <v>Valorização da Produção Rural</v>
      </c>
      <c r="D90" s="201"/>
      <c r="E90" s="201"/>
      <c r="F90" s="201"/>
      <c r="G90" s="201"/>
      <c r="H90" s="201"/>
      <c r="I90" s="201"/>
      <c r="J90" s="201"/>
    </row>
    <row r="91" spans="1:10" ht="12.75" customHeight="1" x14ac:dyDescent="0.2">
      <c r="A91" s="200" t="s">
        <v>4</v>
      </c>
      <c r="B91" s="200"/>
      <c r="C91" s="201" t="s">
        <v>20</v>
      </c>
      <c r="D91" s="201"/>
      <c r="E91" s="201"/>
      <c r="F91" s="201"/>
      <c r="G91" s="201"/>
      <c r="H91" s="201"/>
      <c r="I91" s="201"/>
      <c r="J91" s="201"/>
    </row>
    <row r="92" spans="1:10" x14ac:dyDescent="0.2">
      <c r="A92" s="2"/>
      <c r="B92" s="2"/>
      <c r="C92" s="201"/>
      <c r="D92" s="201"/>
      <c r="E92" s="201"/>
      <c r="F92" s="201"/>
      <c r="G92" s="201"/>
      <c r="H92" s="201"/>
      <c r="I92" s="201"/>
      <c r="J92" s="201"/>
    </row>
    <row r="93" spans="1:10" x14ac:dyDescent="0.2">
      <c r="A93" s="2"/>
      <c r="B93" s="2"/>
      <c r="C93" s="201"/>
      <c r="D93" s="201"/>
      <c r="E93" s="201"/>
      <c r="F93" s="201"/>
      <c r="G93" s="201"/>
      <c r="H93" s="201"/>
      <c r="I93" s="201"/>
      <c r="J93" s="201"/>
    </row>
    <row r="94" spans="1:10" x14ac:dyDescent="0.2">
      <c r="A94" s="2"/>
      <c r="B94" s="2"/>
      <c r="C94" s="201"/>
      <c r="D94" s="201"/>
      <c r="E94" s="201"/>
      <c r="F94" s="201"/>
      <c r="G94" s="201"/>
      <c r="H94" s="201"/>
      <c r="I94" s="201"/>
      <c r="J94" s="201"/>
    </row>
    <row r="95" spans="1:10" x14ac:dyDescent="0.2">
      <c r="A95" s="2"/>
      <c r="B95" s="2"/>
      <c r="C95" s="201"/>
      <c r="D95" s="201"/>
      <c r="E95" s="201"/>
      <c r="F95" s="201"/>
      <c r="G95" s="201"/>
      <c r="H95" s="201"/>
      <c r="I95" s="201"/>
      <c r="J95" s="201"/>
    </row>
    <row r="96" spans="1:10" ht="12.75" customHeight="1" x14ac:dyDescent="0.2">
      <c r="A96" s="202" t="s">
        <v>6</v>
      </c>
      <c r="B96" s="202"/>
      <c r="C96" s="202"/>
      <c r="D96" s="202"/>
      <c r="E96" s="3"/>
      <c r="F96" s="4">
        <v>2026</v>
      </c>
      <c r="G96" s="4">
        <v>2027</v>
      </c>
      <c r="H96" s="34">
        <v>2028</v>
      </c>
      <c r="I96" s="4">
        <v>2029</v>
      </c>
      <c r="J96" s="5" t="s">
        <v>7</v>
      </c>
    </row>
    <row r="97" spans="1:10" ht="12.75" customHeight="1" x14ac:dyDescent="0.2">
      <c r="A97" s="203" t="s">
        <v>8</v>
      </c>
      <c r="B97" s="203"/>
      <c r="C97" s="203"/>
      <c r="D97" s="6"/>
      <c r="E97" s="7"/>
      <c r="F97" s="8">
        <f>F101+F105+F107</f>
        <v>1150000</v>
      </c>
      <c r="G97" s="8">
        <f>G101+G105+G107</f>
        <v>1200000</v>
      </c>
      <c r="H97" s="106">
        <f>H101+H105+H107</f>
        <v>1250000</v>
      </c>
      <c r="I97" s="8">
        <f>I101+I105+I107</f>
        <v>1300000</v>
      </c>
      <c r="J97" s="9">
        <f>SUM(F97:I97)</f>
        <v>4900000</v>
      </c>
    </row>
    <row r="98" spans="1:10" x14ac:dyDescent="0.2">
      <c r="A98" s="10"/>
      <c r="B98" s="11"/>
      <c r="C98" s="194"/>
      <c r="D98" s="194"/>
      <c r="E98" s="194"/>
      <c r="F98" s="12"/>
      <c r="G98" s="12"/>
      <c r="H98" s="35"/>
      <c r="I98" s="12"/>
      <c r="J98" s="13"/>
    </row>
    <row r="99" spans="1:10" ht="12.75" customHeight="1" x14ac:dyDescent="0.2">
      <c r="A99" s="195" t="s">
        <v>9</v>
      </c>
      <c r="B99" s="196" t="s">
        <v>10</v>
      </c>
      <c r="C99" s="196" t="s">
        <v>11</v>
      </c>
      <c r="D99" s="196"/>
      <c r="E99" s="196"/>
      <c r="F99" s="177">
        <f>F96</f>
        <v>2026</v>
      </c>
      <c r="G99" s="177">
        <f>G96</f>
        <v>2027</v>
      </c>
      <c r="H99" s="193">
        <f>H96</f>
        <v>2028</v>
      </c>
      <c r="I99" s="177">
        <f>I96</f>
        <v>2029</v>
      </c>
      <c r="J99" s="197" t="s">
        <v>12</v>
      </c>
    </row>
    <row r="100" spans="1:10" x14ac:dyDescent="0.2">
      <c r="A100" s="195"/>
      <c r="B100" s="196"/>
      <c r="C100" s="196"/>
      <c r="D100" s="196"/>
      <c r="E100" s="196"/>
      <c r="F100" s="177"/>
      <c r="G100" s="177"/>
      <c r="H100" s="193"/>
      <c r="I100" s="177"/>
      <c r="J100" s="197"/>
    </row>
    <row r="101" spans="1:10" ht="13.5" thickBot="1" x14ac:dyDescent="0.25">
      <c r="A101" s="14" t="s">
        <v>13</v>
      </c>
      <c r="B101" s="177">
        <v>2013</v>
      </c>
      <c r="C101" s="192" t="s">
        <v>205</v>
      </c>
      <c r="D101" s="192"/>
      <c r="E101" s="192"/>
      <c r="F101" s="175">
        <f>'Anexo IV -Projetos e Ativid '!D29</f>
        <v>1150000</v>
      </c>
      <c r="G101" s="175">
        <f>'Anexo IV -Projetos e Ativid '!E29</f>
        <v>1200000</v>
      </c>
      <c r="H101" s="175">
        <f>'Anexo IV -Projetos e Ativid '!F29</f>
        <v>1250000</v>
      </c>
      <c r="I101" s="175">
        <f>'Anexo IV -Projetos e Ativid '!G29</f>
        <v>1300000</v>
      </c>
      <c r="J101" s="198">
        <f>SUM(F101:I101)</f>
        <v>4900000</v>
      </c>
    </row>
    <row r="102" spans="1:10" ht="13.5" thickBot="1" x14ac:dyDescent="0.25">
      <c r="A102" s="15"/>
      <c r="B102" s="177"/>
      <c r="C102" s="192"/>
      <c r="D102" s="192"/>
      <c r="E102" s="192"/>
      <c r="F102" s="175"/>
      <c r="G102" s="175"/>
      <c r="H102" s="175"/>
      <c r="I102" s="175"/>
      <c r="J102" s="198"/>
    </row>
    <row r="103" spans="1:10" ht="13.5" thickBot="1" x14ac:dyDescent="0.25"/>
    <row r="104" spans="1:10" ht="13.5" customHeight="1" thickBot="1" x14ac:dyDescent="0.25">
      <c r="A104" s="200" t="s">
        <v>2</v>
      </c>
      <c r="B104" s="200"/>
      <c r="C104" s="201" t="str">
        <f>'[1]Anexo II - Resumo dos Programas'!B10</f>
        <v>Promoção do Crescimento</v>
      </c>
      <c r="D104" s="201"/>
      <c r="E104" s="201"/>
      <c r="F104" s="201"/>
      <c r="G104" s="201"/>
      <c r="H104" s="201"/>
      <c r="I104" s="201"/>
      <c r="J104" s="201"/>
    </row>
    <row r="105" spans="1:10" ht="12.75" customHeight="1" x14ac:dyDescent="0.2">
      <c r="A105" s="200" t="s">
        <v>4</v>
      </c>
      <c r="B105" s="200"/>
      <c r="C105" s="201" t="s">
        <v>21</v>
      </c>
      <c r="D105" s="201"/>
      <c r="E105" s="201"/>
      <c r="F105" s="201"/>
      <c r="G105" s="201"/>
      <c r="H105" s="201"/>
      <c r="I105" s="201"/>
      <c r="J105" s="201"/>
    </row>
    <row r="106" spans="1:10" x14ac:dyDescent="0.2">
      <c r="A106" s="2"/>
      <c r="B106" s="2"/>
      <c r="C106" s="201"/>
      <c r="D106" s="201"/>
      <c r="E106" s="201"/>
      <c r="F106" s="201"/>
      <c r="G106" s="201"/>
      <c r="H106" s="201"/>
      <c r="I106" s="201"/>
      <c r="J106" s="201"/>
    </row>
    <row r="107" spans="1:10" x14ac:dyDescent="0.2">
      <c r="A107" s="2"/>
      <c r="B107" s="2"/>
      <c r="C107" s="201"/>
      <c r="D107" s="201"/>
      <c r="E107" s="201"/>
      <c r="F107" s="201"/>
      <c r="G107" s="201"/>
      <c r="H107" s="201"/>
      <c r="I107" s="201"/>
      <c r="J107" s="201"/>
    </row>
    <row r="108" spans="1:10" x14ac:dyDescent="0.2">
      <c r="A108" s="2"/>
      <c r="B108" s="2"/>
      <c r="C108" s="201"/>
      <c r="D108" s="201"/>
      <c r="E108" s="201"/>
      <c r="F108" s="201"/>
      <c r="G108" s="201"/>
      <c r="H108" s="201"/>
      <c r="I108" s="201"/>
      <c r="J108" s="201"/>
    </row>
    <row r="109" spans="1:10" x14ac:dyDescent="0.2">
      <c r="A109" s="2"/>
      <c r="B109" s="2"/>
      <c r="C109" s="201"/>
      <c r="D109" s="201"/>
      <c r="E109" s="201"/>
      <c r="F109" s="201"/>
      <c r="G109" s="201"/>
      <c r="H109" s="201"/>
      <c r="I109" s="201"/>
      <c r="J109" s="201"/>
    </row>
    <row r="110" spans="1:10" x14ac:dyDescent="0.2">
      <c r="A110" s="2"/>
      <c r="B110" s="2"/>
      <c r="C110" s="201"/>
      <c r="D110" s="201"/>
      <c r="E110" s="201"/>
      <c r="F110" s="201"/>
      <c r="G110" s="201"/>
      <c r="H110" s="201"/>
      <c r="I110" s="201"/>
      <c r="J110" s="201"/>
    </row>
    <row r="111" spans="1:10" ht="12.75" customHeight="1" x14ac:dyDescent="0.2">
      <c r="A111" s="202" t="s">
        <v>6</v>
      </c>
      <c r="B111" s="202"/>
      <c r="C111" s="202"/>
      <c r="D111" s="202"/>
      <c r="E111" s="3"/>
      <c r="F111" s="4">
        <v>2026</v>
      </c>
      <c r="G111" s="4">
        <v>2027</v>
      </c>
      <c r="H111" s="34">
        <v>2028</v>
      </c>
      <c r="I111" s="4">
        <v>2029</v>
      </c>
      <c r="J111" s="5" t="s">
        <v>7</v>
      </c>
    </row>
    <row r="112" spans="1:10" ht="12.75" customHeight="1" x14ac:dyDescent="0.2">
      <c r="A112" s="203" t="s">
        <v>8</v>
      </c>
      <c r="B112" s="203"/>
      <c r="C112" s="203"/>
      <c r="D112" s="6"/>
      <c r="E112" s="7"/>
      <c r="F112" s="8">
        <f>F116+F118</f>
        <v>2760000</v>
      </c>
      <c r="G112" s="8">
        <f>G116+G118</f>
        <v>2810000</v>
      </c>
      <c r="H112" s="8">
        <f>H116+H118</f>
        <v>2860000</v>
      </c>
      <c r="I112" s="8">
        <f>I116+I118</f>
        <v>2910000</v>
      </c>
      <c r="J112" s="9">
        <f>SUM(F112:I112)</f>
        <v>11340000</v>
      </c>
    </row>
    <row r="113" spans="1:10" x14ac:dyDescent="0.2">
      <c r="A113" s="10"/>
      <c r="B113" s="11"/>
      <c r="C113" s="194"/>
      <c r="D113" s="194"/>
      <c r="E113" s="194"/>
      <c r="F113" s="12"/>
      <c r="G113" s="12"/>
      <c r="H113" s="35"/>
      <c r="I113" s="12"/>
      <c r="J113" s="13"/>
    </row>
    <row r="114" spans="1:10" ht="12.75" customHeight="1" x14ac:dyDescent="0.2">
      <c r="A114" s="195" t="s">
        <v>9</v>
      </c>
      <c r="B114" s="196" t="s">
        <v>10</v>
      </c>
      <c r="C114" s="196" t="s">
        <v>11</v>
      </c>
      <c r="D114" s="196"/>
      <c r="E114" s="196"/>
      <c r="F114" s="177">
        <f>F111</f>
        <v>2026</v>
      </c>
      <c r="G114" s="177">
        <f>G111</f>
        <v>2027</v>
      </c>
      <c r="H114" s="193">
        <f>H111</f>
        <v>2028</v>
      </c>
      <c r="I114" s="177">
        <f>I111</f>
        <v>2029</v>
      </c>
      <c r="J114" s="197" t="s">
        <v>12</v>
      </c>
    </row>
    <row r="115" spans="1:10" x14ac:dyDescent="0.2">
      <c r="A115" s="195"/>
      <c r="B115" s="196"/>
      <c r="C115" s="196"/>
      <c r="D115" s="196"/>
      <c r="E115" s="196"/>
      <c r="F115" s="177"/>
      <c r="G115" s="177"/>
      <c r="H115" s="193"/>
      <c r="I115" s="177"/>
      <c r="J115" s="197"/>
    </row>
    <row r="116" spans="1:10" ht="13.5" thickBot="1" x14ac:dyDescent="0.25">
      <c r="A116" s="14" t="s">
        <v>13</v>
      </c>
      <c r="B116" s="177">
        <v>2014</v>
      </c>
      <c r="C116" s="192" t="s">
        <v>206</v>
      </c>
      <c r="D116" s="192"/>
      <c r="E116" s="192"/>
      <c r="F116" s="175">
        <f>'Anexo IV -Projetos e Ativid '!D30</f>
        <v>2750000</v>
      </c>
      <c r="G116" s="175">
        <f>'Anexo IV -Projetos e Ativid '!E30</f>
        <v>2800000</v>
      </c>
      <c r="H116" s="175">
        <f>'Anexo IV -Projetos e Ativid '!F30</f>
        <v>2850000</v>
      </c>
      <c r="I116" s="175">
        <f>'Anexo IV -Projetos e Ativid '!G30</f>
        <v>2900000</v>
      </c>
      <c r="J116" s="198">
        <f>SUM(F116:I116)</f>
        <v>11300000</v>
      </c>
    </row>
    <row r="117" spans="1:10" ht="13.5" thickBot="1" x14ac:dyDescent="0.25">
      <c r="A117" s="15"/>
      <c r="B117" s="177"/>
      <c r="C117" s="192"/>
      <c r="D117" s="192"/>
      <c r="E117" s="192"/>
      <c r="F117" s="175"/>
      <c r="G117" s="175"/>
      <c r="H117" s="175"/>
      <c r="I117" s="175"/>
      <c r="J117" s="198"/>
    </row>
    <row r="118" spans="1:10" ht="13.5" thickBot="1" x14ac:dyDescent="0.25">
      <c r="A118" s="14" t="s">
        <v>15</v>
      </c>
      <c r="B118" s="177">
        <f>'Anexo IV -Projetos e Ativid '!B31</f>
        <v>3027</v>
      </c>
      <c r="C118" s="192" t="str">
        <f>'Anexo IV -Projetos e Ativid '!C31</f>
        <v>AQUISIÇÃO DE ÁREA PARA INSTALAÇÃO DE INDÚSTRIAS</v>
      </c>
      <c r="D118" s="192"/>
      <c r="E118" s="192"/>
      <c r="F118" s="175">
        <f>'Anexo IV -Projetos e Ativid '!D31</f>
        <v>10000</v>
      </c>
      <c r="G118" s="175">
        <f>'Anexo IV -Projetos e Ativid '!E31</f>
        <v>10000</v>
      </c>
      <c r="H118" s="175">
        <f>'Anexo IV -Projetos e Ativid '!F31</f>
        <v>10000</v>
      </c>
      <c r="I118" s="175">
        <f>'Anexo IV -Projetos e Ativid '!G31</f>
        <v>10000</v>
      </c>
      <c r="J118" s="198">
        <f>SUM(F118:I118)</f>
        <v>40000</v>
      </c>
    </row>
    <row r="119" spans="1:10" x14ac:dyDescent="0.2">
      <c r="A119" s="15"/>
      <c r="B119" s="177"/>
      <c r="C119" s="192"/>
      <c r="D119" s="192"/>
      <c r="E119" s="192"/>
      <c r="F119" s="175"/>
      <c r="G119" s="175"/>
      <c r="H119" s="175"/>
      <c r="I119" s="175"/>
      <c r="J119" s="198"/>
    </row>
    <row r="120" spans="1:10" ht="13.5" thickBot="1" x14ac:dyDescent="0.25"/>
    <row r="121" spans="1:10" ht="13.5" customHeight="1" thickBot="1" x14ac:dyDescent="0.25">
      <c r="A121" s="226" t="s">
        <v>2</v>
      </c>
      <c r="B121" s="227"/>
      <c r="C121" s="228" t="str">
        <f>'[1]Anexo II - Resumo dos Programas'!B12</f>
        <v>Desenvolvimento Educacional</v>
      </c>
      <c r="D121" s="228"/>
      <c r="E121" s="228"/>
      <c r="F121" s="228"/>
      <c r="G121" s="228"/>
      <c r="H121" s="228"/>
      <c r="I121" s="228"/>
      <c r="J121" s="229"/>
    </row>
    <row r="122" spans="1:10" ht="12.75" customHeight="1" thickBot="1" x14ac:dyDescent="0.25">
      <c r="A122" s="220" t="s">
        <v>4</v>
      </c>
      <c r="B122" s="200"/>
      <c r="C122" s="201" t="s">
        <v>24</v>
      </c>
      <c r="D122" s="201"/>
      <c r="E122" s="201"/>
      <c r="F122" s="201"/>
      <c r="G122" s="201"/>
      <c r="H122" s="201"/>
      <c r="I122" s="201"/>
      <c r="J122" s="221"/>
    </row>
    <row r="123" spans="1:10" ht="13.5" thickBot="1" x14ac:dyDescent="0.25">
      <c r="A123" s="50"/>
      <c r="B123" s="2"/>
      <c r="C123" s="201"/>
      <c r="D123" s="201"/>
      <c r="E123" s="201"/>
      <c r="F123" s="201"/>
      <c r="G123" s="201"/>
      <c r="H123" s="201"/>
      <c r="I123" s="201"/>
      <c r="J123" s="221"/>
    </row>
    <row r="124" spans="1:10" ht="13.5" thickBot="1" x14ac:dyDescent="0.25">
      <c r="A124" s="50"/>
      <c r="B124" s="2"/>
      <c r="C124" s="201"/>
      <c r="D124" s="201"/>
      <c r="E124" s="201"/>
      <c r="F124" s="201"/>
      <c r="G124" s="201"/>
      <c r="H124" s="201"/>
      <c r="I124" s="201"/>
      <c r="J124" s="221"/>
    </row>
    <row r="125" spans="1:10" ht="13.5" thickBot="1" x14ac:dyDescent="0.25">
      <c r="A125" s="50"/>
      <c r="B125" s="2"/>
      <c r="C125" s="201"/>
      <c r="D125" s="201"/>
      <c r="E125" s="201"/>
      <c r="F125" s="201"/>
      <c r="G125" s="201"/>
      <c r="H125" s="201"/>
      <c r="I125" s="201"/>
      <c r="J125" s="221"/>
    </row>
    <row r="126" spans="1:10" ht="13.5" thickBot="1" x14ac:dyDescent="0.25">
      <c r="A126" s="50"/>
      <c r="B126" s="2"/>
      <c r="C126" s="201"/>
      <c r="D126" s="201"/>
      <c r="E126" s="201"/>
      <c r="F126" s="201"/>
      <c r="G126" s="201"/>
      <c r="H126" s="201"/>
      <c r="I126" s="201"/>
      <c r="J126" s="221"/>
    </row>
    <row r="127" spans="1:10" ht="13.5" thickBot="1" x14ac:dyDescent="0.25">
      <c r="A127" s="50"/>
      <c r="B127" s="2"/>
      <c r="C127" s="201"/>
      <c r="D127" s="201"/>
      <c r="E127" s="201"/>
      <c r="F127" s="201"/>
      <c r="G127" s="201"/>
      <c r="H127" s="201"/>
      <c r="I127" s="201"/>
      <c r="J127" s="221"/>
    </row>
    <row r="128" spans="1:10" ht="13.5" thickBot="1" x14ac:dyDescent="0.25">
      <c r="A128" s="50"/>
      <c r="B128" s="2"/>
      <c r="C128" s="201"/>
      <c r="D128" s="201"/>
      <c r="E128" s="201"/>
      <c r="F128" s="201"/>
      <c r="G128" s="201"/>
      <c r="H128" s="201"/>
      <c r="I128" s="201"/>
      <c r="J128" s="221"/>
    </row>
    <row r="129" spans="1:10" ht="12.75" customHeight="1" x14ac:dyDescent="0.2">
      <c r="A129" s="222" t="s">
        <v>6</v>
      </c>
      <c r="B129" s="202"/>
      <c r="C129" s="202"/>
      <c r="D129" s="202"/>
      <c r="E129" s="3"/>
      <c r="F129" s="4">
        <v>2026</v>
      </c>
      <c r="G129" s="4">
        <v>2027</v>
      </c>
      <c r="H129" s="34">
        <v>2028</v>
      </c>
      <c r="I129" s="4">
        <v>2029</v>
      </c>
      <c r="J129" s="51" t="s">
        <v>7</v>
      </c>
    </row>
    <row r="130" spans="1:10" ht="12.75" customHeight="1" x14ac:dyDescent="0.2">
      <c r="A130" s="223" t="s">
        <v>8</v>
      </c>
      <c r="B130" s="203"/>
      <c r="C130" s="203"/>
      <c r="D130" s="6"/>
      <c r="E130" s="7"/>
      <c r="F130" s="8">
        <f>SUM(F134:F157)</f>
        <v>45140000</v>
      </c>
      <c r="G130" s="8">
        <f>SUM(G134:G157)</f>
        <v>46910000</v>
      </c>
      <c r="H130" s="8">
        <f>SUM(H134:H157)</f>
        <v>49380000</v>
      </c>
      <c r="I130" s="8">
        <f>SUM(I134:I157)</f>
        <v>50970000</v>
      </c>
      <c r="J130" s="52">
        <f>SUM(F130:I130)</f>
        <v>192400000</v>
      </c>
    </row>
    <row r="131" spans="1:10" x14ac:dyDescent="0.2">
      <c r="A131" s="53"/>
      <c r="B131" s="11"/>
      <c r="C131" s="194"/>
      <c r="D131" s="194"/>
      <c r="E131" s="194"/>
      <c r="F131" s="12"/>
      <c r="G131" s="12"/>
      <c r="H131" s="35"/>
      <c r="I131" s="12"/>
      <c r="J131" s="54"/>
    </row>
    <row r="132" spans="1:10" ht="12.75" customHeight="1" x14ac:dyDescent="0.2">
      <c r="A132" s="224" t="s">
        <v>9</v>
      </c>
      <c r="B132" s="196" t="s">
        <v>10</v>
      </c>
      <c r="C132" s="196" t="s">
        <v>11</v>
      </c>
      <c r="D132" s="196"/>
      <c r="E132" s="196"/>
      <c r="F132" s="177">
        <f>F129</f>
        <v>2026</v>
      </c>
      <c r="G132" s="177">
        <f>G129</f>
        <v>2027</v>
      </c>
      <c r="H132" s="193">
        <f>H129</f>
        <v>2028</v>
      </c>
      <c r="I132" s="177">
        <f>I129</f>
        <v>2029</v>
      </c>
      <c r="J132" s="225" t="s">
        <v>12</v>
      </c>
    </row>
    <row r="133" spans="1:10" x14ac:dyDescent="0.2">
      <c r="A133" s="224"/>
      <c r="B133" s="196"/>
      <c r="C133" s="196"/>
      <c r="D133" s="196"/>
      <c r="E133" s="196"/>
      <c r="F133" s="177"/>
      <c r="G133" s="177"/>
      <c r="H133" s="193"/>
      <c r="I133" s="177"/>
      <c r="J133" s="225"/>
    </row>
    <row r="134" spans="1:10" ht="13.5" thickBot="1" x14ac:dyDescent="0.25">
      <c r="A134" s="55" t="s">
        <v>13</v>
      </c>
      <c r="B134" s="177">
        <v>2020</v>
      </c>
      <c r="C134" s="192" t="s">
        <v>113</v>
      </c>
      <c r="D134" s="192"/>
      <c r="E134" s="192"/>
      <c r="F134" s="175">
        <f>'Anexo IV -Projetos e Ativid '!D35</f>
        <v>3100000</v>
      </c>
      <c r="G134" s="175">
        <f>'Anexo IV -Projetos e Ativid '!E35</f>
        <v>3300000</v>
      </c>
      <c r="H134" s="175">
        <f>'Anexo IV -Projetos e Ativid '!F35</f>
        <v>3500000</v>
      </c>
      <c r="I134" s="175">
        <f>'Anexo IV -Projetos e Ativid '!G35</f>
        <v>3700000</v>
      </c>
      <c r="J134" s="219">
        <f>SUM(F134:I134)</f>
        <v>13600000</v>
      </c>
    </row>
    <row r="135" spans="1:10" ht="13.5" thickBot="1" x14ac:dyDescent="0.25">
      <c r="A135" s="56"/>
      <c r="B135" s="177"/>
      <c r="C135" s="192"/>
      <c r="D135" s="192"/>
      <c r="E135" s="192"/>
      <c r="F135" s="175"/>
      <c r="G135" s="175"/>
      <c r="H135" s="175"/>
      <c r="I135" s="175"/>
      <c r="J135" s="219"/>
    </row>
    <row r="136" spans="1:10" ht="13.5" thickBot="1" x14ac:dyDescent="0.25">
      <c r="A136" s="55" t="s">
        <v>13</v>
      </c>
      <c r="B136" s="177">
        <v>2098</v>
      </c>
      <c r="C136" s="192" t="str">
        <f>'Anexo IV -Projetos e Ativid '!C36</f>
        <v>MANUTENÇÃO DAS ATIVIDADES DA SECRETARIA EDUCAÇÃO FUNDEB</v>
      </c>
      <c r="D136" s="192"/>
      <c r="E136" s="192"/>
      <c r="F136" s="175">
        <f>'Anexo IV -Projetos e Ativid '!D36</f>
        <v>2200000</v>
      </c>
      <c r="G136" s="175">
        <f>'Anexo IV -Projetos e Ativid '!E36</f>
        <v>2400000</v>
      </c>
      <c r="H136" s="175">
        <f>'Anexo IV -Projetos e Ativid '!F36</f>
        <v>2600000</v>
      </c>
      <c r="I136" s="175">
        <f>'Anexo IV -Projetos e Ativid '!G36</f>
        <v>2800000</v>
      </c>
      <c r="J136" s="219">
        <f>SUM(F136:I136)</f>
        <v>10000000</v>
      </c>
    </row>
    <row r="137" spans="1:10" ht="13.5" thickBot="1" x14ac:dyDescent="0.25">
      <c r="A137" s="56"/>
      <c r="B137" s="177"/>
      <c r="C137" s="192"/>
      <c r="D137" s="192"/>
      <c r="E137" s="192"/>
      <c r="F137" s="175"/>
      <c r="G137" s="175"/>
      <c r="H137" s="175"/>
      <c r="I137" s="175"/>
      <c r="J137" s="219"/>
    </row>
    <row r="138" spans="1:10" ht="13.5" thickBot="1" x14ac:dyDescent="0.25">
      <c r="A138" s="55" t="s">
        <v>13</v>
      </c>
      <c r="B138" s="177">
        <v>2010</v>
      </c>
      <c r="C138" s="192" t="str">
        <f>'Anexo IV -Projetos e Ativid '!C37</f>
        <v>EDUCAÇÃO INFANTIL CRECHE-MDE</v>
      </c>
      <c r="D138" s="192"/>
      <c r="E138" s="192"/>
      <c r="F138" s="175">
        <f>'Anexo IV -Projetos e Ativid '!D37</f>
        <v>7800000</v>
      </c>
      <c r="G138" s="175">
        <f>'Anexo IV -Projetos e Ativid '!E37</f>
        <v>8000000</v>
      </c>
      <c r="H138" s="175">
        <f>'Anexo IV -Projetos e Ativid '!F37</f>
        <v>8100000</v>
      </c>
      <c r="I138" s="175">
        <f>'Anexo IV -Projetos e Ativid '!G37</f>
        <v>8200000</v>
      </c>
      <c r="J138" s="219">
        <f>SUM(F138:I138)</f>
        <v>32100000</v>
      </c>
    </row>
    <row r="139" spans="1:10" ht="13.5" thickBot="1" x14ac:dyDescent="0.25">
      <c r="A139" s="56"/>
      <c r="B139" s="177"/>
      <c r="C139" s="192"/>
      <c r="D139" s="192"/>
      <c r="E139" s="192"/>
      <c r="F139" s="175"/>
      <c r="G139" s="175"/>
      <c r="H139" s="175"/>
      <c r="I139" s="175"/>
      <c r="J139" s="219"/>
    </row>
    <row r="140" spans="1:10" ht="13.5" thickBot="1" x14ac:dyDescent="0.25">
      <c r="A140" s="55" t="s">
        <v>13</v>
      </c>
      <c r="B140" s="177">
        <f>'Anexo IV -Projetos e Ativid '!B38</f>
        <v>2015</v>
      </c>
      <c r="C140" s="192" t="str">
        <f>'Anexo IV -Projetos e Ativid '!C38</f>
        <v>EDUCAÇÃO INFANTIL CRECHE-FUNDEB</v>
      </c>
      <c r="D140" s="192"/>
      <c r="E140" s="192"/>
      <c r="F140" s="175">
        <f>'Anexo IV -Projetos e Ativid '!D38</f>
        <v>5900000</v>
      </c>
      <c r="G140" s="175">
        <f>'Anexo IV -Projetos e Ativid '!E38</f>
        <v>6100000</v>
      </c>
      <c r="H140" s="175">
        <f>'Anexo IV -Projetos e Ativid '!F38</f>
        <v>6200000</v>
      </c>
      <c r="I140" s="175">
        <f>'Anexo IV -Projetos e Ativid '!G38</f>
        <v>6300000</v>
      </c>
      <c r="J140" s="219">
        <f>SUM(F140:I140)</f>
        <v>24500000</v>
      </c>
    </row>
    <row r="141" spans="1:10" ht="13.5" thickBot="1" x14ac:dyDescent="0.25">
      <c r="A141" s="56"/>
      <c r="B141" s="177"/>
      <c r="C141" s="192"/>
      <c r="D141" s="192"/>
      <c r="E141" s="192"/>
      <c r="F141" s="175"/>
      <c r="G141" s="175"/>
      <c r="H141" s="175"/>
      <c r="I141" s="175"/>
      <c r="J141" s="219"/>
    </row>
    <row r="142" spans="1:10" ht="12.75" customHeight="1" thickBot="1" x14ac:dyDescent="0.25">
      <c r="A142" s="55" t="s">
        <v>13</v>
      </c>
      <c r="B142" s="177">
        <f>'Anexo IV -Projetos e Ativid '!B39</f>
        <v>2009</v>
      </c>
      <c r="C142" s="178" t="str">
        <f>'Anexo IV -Projetos e Ativid '!C39</f>
        <v>EDUCAÇÃO INFANTIL PRE ESCOLA-MDE</v>
      </c>
      <c r="D142" s="178"/>
      <c r="E142" s="178"/>
      <c r="F142" s="176">
        <f>'Anexo IV -Projetos e Ativid '!D39</f>
        <v>530000</v>
      </c>
      <c r="G142" s="176">
        <f>'Anexo IV -Projetos e Ativid '!E39</f>
        <v>580000</v>
      </c>
      <c r="H142" s="176">
        <f>'Anexo IV -Projetos e Ativid '!F39</f>
        <v>630000</v>
      </c>
      <c r="I142" s="176">
        <f>'Anexo IV -Projetos e Ativid '!G39</f>
        <v>680000</v>
      </c>
      <c r="J142" s="174">
        <f>SUM(F142:I142)</f>
        <v>2420000</v>
      </c>
    </row>
    <row r="143" spans="1:10" ht="13.5" thickBot="1" x14ac:dyDescent="0.25">
      <c r="A143" s="56"/>
      <c r="B143" s="177"/>
      <c r="C143" s="178"/>
      <c r="D143" s="178"/>
      <c r="E143" s="178"/>
      <c r="F143" s="176"/>
      <c r="G143" s="176"/>
      <c r="H143" s="176"/>
      <c r="I143" s="176"/>
      <c r="J143" s="174"/>
    </row>
    <row r="144" spans="1:10" ht="13.5" thickBot="1" x14ac:dyDescent="0.25">
      <c r="A144" s="55" t="s">
        <v>13</v>
      </c>
      <c r="B144" s="177">
        <f>'Anexo IV -Projetos e Ativid '!B40</f>
        <v>2027</v>
      </c>
      <c r="C144" s="178" t="str">
        <f>'Anexo IV -Projetos e Ativid '!C40</f>
        <v>EDUCAÇÃO INFANTIL PRE ESCOLA-FUNDEB</v>
      </c>
      <c r="D144" s="178"/>
      <c r="E144" s="178"/>
      <c r="F144" s="176">
        <f>'Anexo IV -Projetos e Ativid '!D40</f>
        <v>4350000</v>
      </c>
      <c r="G144" s="176">
        <f>'Anexo IV -Projetos e Ativid '!E40</f>
        <v>4650000</v>
      </c>
      <c r="H144" s="176">
        <f>'Anexo IV -Projetos e Ativid '!F40</f>
        <v>4900000</v>
      </c>
      <c r="I144" s="176">
        <f>'Anexo IV -Projetos e Ativid '!G40</f>
        <v>5150000</v>
      </c>
      <c r="J144" s="174">
        <f>SUM(F144:I144)</f>
        <v>19050000</v>
      </c>
    </row>
    <row r="145" spans="1:10" ht="13.5" thickBot="1" x14ac:dyDescent="0.25">
      <c r="A145" s="56"/>
      <c r="B145" s="177"/>
      <c r="C145" s="178"/>
      <c r="D145" s="178"/>
      <c r="E145" s="178"/>
      <c r="F145" s="176"/>
      <c r="G145" s="176"/>
      <c r="H145" s="176"/>
      <c r="I145" s="176"/>
      <c r="J145" s="174"/>
    </row>
    <row r="146" spans="1:10" ht="12.75" customHeight="1" thickBot="1" x14ac:dyDescent="0.25">
      <c r="A146" s="55" t="s">
        <v>13</v>
      </c>
      <c r="B146" s="177">
        <v>2016</v>
      </c>
      <c r="C146" s="178" t="s">
        <v>293</v>
      </c>
      <c r="D146" s="178"/>
      <c r="E146" s="178"/>
      <c r="F146" s="176">
        <f>'Anexo IV -Projetos e Ativid '!D41</f>
        <v>690000</v>
      </c>
      <c r="G146" s="176">
        <f>'Anexo IV -Projetos e Ativid '!E41</f>
        <v>910000</v>
      </c>
      <c r="H146" s="176">
        <f>'Anexo IV -Projetos e Ativid '!F41</f>
        <v>1130000</v>
      </c>
      <c r="I146" s="176">
        <f>'Anexo IV -Projetos e Ativid '!G41</f>
        <v>1350000</v>
      </c>
      <c r="J146" s="174">
        <f>SUM(F146:I146)</f>
        <v>4080000</v>
      </c>
    </row>
    <row r="147" spans="1:10" ht="13.5" thickBot="1" x14ac:dyDescent="0.25">
      <c r="A147" s="56"/>
      <c r="B147" s="177"/>
      <c r="C147" s="178"/>
      <c r="D147" s="178"/>
      <c r="E147" s="178"/>
      <c r="F147" s="176"/>
      <c r="G147" s="176"/>
      <c r="H147" s="176"/>
      <c r="I147" s="176"/>
      <c r="J147" s="174"/>
    </row>
    <row r="148" spans="1:10" ht="12.75" customHeight="1" thickBot="1" x14ac:dyDescent="0.25">
      <c r="A148" s="55" t="s">
        <v>13</v>
      </c>
      <c r="B148" s="177">
        <f>'Anexo IV -Projetos e Ativid '!B50</f>
        <v>2099</v>
      </c>
      <c r="C148" s="178" t="str">
        <f>'Anexo IV -Projetos e Ativid '!C50</f>
        <v>EDUCAÇÃO FISCAL ENSINO FUNDAMENTAL</v>
      </c>
      <c r="D148" s="178"/>
      <c r="E148" s="178"/>
      <c r="F148" s="176">
        <f>'Anexo IV -Projetos e Ativid '!D50</f>
        <v>10000</v>
      </c>
      <c r="G148" s="176">
        <f>'Anexo IV -Projetos e Ativid '!E50</f>
        <v>10000</v>
      </c>
      <c r="H148" s="176">
        <f>'Anexo IV -Projetos e Ativid '!F50</f>
        <v>10000</v>
      </c>
      <c r="I148" s="176">
        <f>'Anexo IV -Projetos e Ativid '!G50</f>
        <v>10000</v>
      </c>
      <c r="J148" s="174">
        <f>SUM(F148:I148)</f>
        <v>40000</v>
      </c>
    </row>
    <row r="149" spans="1:10" ht="13.5" thickBot="1" x14ac:dyDescent="0.25">
      <c r="A149" s="56"/>
      <c r="B149" s="177"/>
      <c r="C149" s="178"/>
      <c r="D149" s="178"/>
      <c r="E149" s="178"/>
      <c r="F149" s="176"/>
      <c r="G149" s="176"/>
      <c r="H149" s="176"/>
      <c r="I149" s="176"/>
      <c r="J149" s="174"/>
    </row>
    <row r="150" spans="1:10" ht="12.75" customHeight="1" thickBot="1" x14ac:dyDescent="0.25">
      <c r="A150" s="55" t="s">
        <v>13</v>
      </c>
      <c r="B150" s="177">
        <v>2022</v>
      </c>
      <c r="C150" s="178" t="s">
        <v>294</v>
      </c>
      <c r="D150" s="178"/>
      <c r="E150" s="178"/>
      <c r="F150" s="176">
        <f>'Anexo IV -Projetos e Ativid '!D42</f>
        <v>7900000</v>
      </c>
      <c r="G150" s="176">
        <f>'Anexo IV -Projetos e Ativid '!E42</f>
        <v>8050000</v>
      </c>
      <c r="H150" s="176">
        <f>'Anexo IV -Projetos e Ativid '!F42</f>
        <v>9250000</v>
      </c>
      <c r="I150" s="176">
        <f>'Anexo IV -Projetos e Ativid '!G42</f>
        <v>9370000</v>
      </c>
      <c r="J150" s="174">
        <f>SUM(F150:I150)</f>
        <v>34570000</v>
      </c>
    </row>
    <row r="151" spans="1:10" ht="13.5" thickBot="1" x14ac:dyDescent="0.25">
      <c r="A151" s="56"/>
      <c r="B151" s="177"/>
      <c r="C151" s="178"/>
      <c r="D151" s="178"/>
      <c r="E151" s="178"/>
      <c r="F151" s="176"/>
      <c r="G151" s="176"/>
      <c r="H151" s="176"/>
      <c r="I151" s="176"/>
      <c r="J151" s="174"/>
    </row>
    <row r="152" spans="1:10" ht="12.75" customHeight="1" thickBot="1" x14ac:dyDescent="0.25">
      <c r="A152" s="55" t="s">
        <v>13</v>
      </c>
      <c r="B152" s="177">
        <v>2023</v>
      </c>
      <c r="C152" s="178" t="s">
        <v>295</v>
      </c>
      <c r="D152" s="178"/>
      <c r="E152" s="178"/>
      <c r="F152" s="176">
        <f>'Anexo IV -Projetos e Ativid '!D43</f>
        <v>11500000</v>
      </c>
      <c r="G152" s="176">
        <f>'Anexo IV -Projetos e Ativid '!E43</f>
        <v>11800000</v>
      </c>
      <c r="H152" s="176">
        <f>'Anexo IV -Projetos e Ativid '!F43</f>
        <v>11950000</v>
      </c>
      <c r="I152" s="176">
        <f>'Anexo IV -Projetos e Ativid '!G43</f>
        <v>12150000</v>
      </c>
      <c r="J152" s="174">
        <f>SUM(F152:I152)</f>
        <v>47400000</v>
      </c>
    </row>
    <row r="153" spans="1:10" ht="13.5" thickBot="1" x14ac:dyDescent="0.25">
      <c r="A153" s="56"/>
      <c r="B153" s="177"/>
      <c r="C153" s="178"/>
      <c r="D153" s="178"/>
      <c r="E153" s="178"/>
      <c r="F153" s="176"/>
      <c r="G153" s="176"/>
      <c r="H153" s="176"/>
      <c r="I153" s="176"/>
      <c r="J153" s="174"/>
    </row>
    <row r="154" spans="1:10" ht="12.75" customHeight="1" thickBot="1" x14ac:dyDescent="0.25">
      <c r="A154" s="55" t="s">
        <v>13</v>
      </c>
      <c r="B154" s="177">
        <v>2024</v>
      </c>
      <c r="C154" s="178" t="s">
        <v>296</v>
      </c>
      <c r="D154" s="178"/>
      <c r="E154" s="178"/>
      <c r="F154" s="176">
        <f>'Anexo IV -Projetos e Ativid '!D44</f>
        <v>1150000</v>
      </c>
      <c r="G154" s="176">
        <f>'Anexo IV -Projetos e Ativid '!E44</f>
        <v>1100000</v>
      </c>
      <c r="H154" s="176">
        <f>'Anexo IV -Projetos e Ativid '!F44</f>
        <v>1100000</v>
      </c>
      <c r="I154" s="176">
        <f>'Anexo IV -Projetos e Ativid '!G44</f>
        <v>1250000</v>
      </c>
      <c r="J154" s="174">
        <f>SUM(F154:I154)</f>
        <v>4600000</v>
      </c>
    </row>
    <row r="155" spans="1:10" ht="13.5" thickBot="1" x14ac:dyDescent="0.25">
      <c r="A155" s="56"/>
      <c r="B155" s="177"/>
      <c r="C155" s="178"/>
      <c r="D155" s="178"/>
      <c r="E155" s="178"/>
      <c r="F155" s="176"/>
      <c r="G155" s="176"/>
      <c r="H155" s="176"/>
      <c r="I155" s="176"/>
      <c r="J155" s="174"/>
    </row>
    <row r="156" spans="1:10" ht="13.5" customHeight="1" thickBot="1" x14ac:dyDescent="0.25">
      <c r="A156" s="55" t="s">
        <v>13</v>
      </c>
      <c r="B156" s="177">
        <v>2137</v>
      </c>
      <c r="C156" s="178" t="s">
        <v>270</v>
      </c>
      <c r="D156" s="178"/>
      <c r="E156" s="178"/>
      <c r="F156" s="176">
        <f>'Anexo IV -Projetos e Ativid '!D49</f>
        <v>10000</v>
      </c>
      <c r="G156" s="176">
        <f>'Anexo IV -Projetos e Ativid '!E49</f>
        <v>10000</v>
      </c>
      <c r="H156" s="176">
        <f>'Anexo IV -Projetos e Ativid '!F49</f>
        <v>10000</v>
      </c>
      <c r="I156" s="176">
        <f>'Anexo IV -Projetos e Ativid '!G49</f>
        <v>10000</v>
      </c>
      <c r="J156" s="174">
        <f>SUM(F156:I156)</f>
        <v>40000</v>
      </c>
    </row>
    <row r="157" spans="1:10" ht="13.5" thickBot="1" x14ac:dyDescent="0.25">
      <c r="A157" s="56"/>
      <c r="B157" s="177"/>
      <c r="C157" s="178"/>
      <c r="D157" s="178"/>
      <c r="E157" s="178"/>
      <c r="F157" s="176"/>
      <c r="G157" s="176"/>
      <c r="H157" s="176"/>
      <c r="I157" s="176"/>
      <c r="J157" s="174"/>
    </row>
    <row r="158" spans="1:10" x14ac:dyDescent="0.2">
      <c r="A158" s="57"/>
      <c r="B158" s="16"/>
      <c r="C158" s="17"/>
      <c r="D158" s="17"/>
      <c r="E158" s="17"/>
      <c r="F158" s="18"/>
      <c r="G158" s="18"/>
      <c r="H158" s="36"/>
      <c r="I158" s="18"/>
      <c r="J158" s="58"/>
    </row>
    <row r="159" spans="1:10" x14ac:dyDescent="0.2">
      <c r="A159" s="57"/>
      <c r="B159" s="16"/>
      <c r="C159" s="17"/>
      <c r="D159" s="17"/>
      <c r="E159" s="17"/>
      <c r="F159" s="18"/>
      <c r="G159" s="18"/>
      <c r="H159" s="36"/>
      <c r="I159" s="18"/>
      <c r="J159" s="58"/>
    </row>
    <row r="160" spans="1:10" ht="13.5" thickBot="1" x14ac:dyDescent="0.25">
      <c r="A160" s="59"/>
      <c r="J160" s="60"/>
    </row>
    <row r="161" spans="1:10" ht="13.5" customHeight="1" thickBot="1" x14ac:dyDescent="0.25">
      <c r="A161" s="220" t="s">
        <v>2</v>
      </c>
      <c r="B161" s="200"/>
      <c r="C161" s="201" t="str">
        <f>'[1]Anexo II - Resumo dos Programas'!B13</f>
        <v>Proteção Social Especial</v>
      </c>
      <c r="D161" s="201"/>
      <c r="E161" s="201"/>
      <c r="F161" s="201"/>
      <c r="G161" s="201"/>
      <c r="H161" s="201"/>
      <c r="I161" s="201"/>
      <c r="J161" s="221"/>
    </row>
    <row r="162" spans="1:10" ht="12.75" customHeight="1" thickBot="1" x14ac:dyDescent="0.25">
      <c r="A162" s="220" t="s">
        <v>4</v>
      </c>
      <c r="B162" s="200"/>
      <c r="C162" s="201" t="s">
        <v>25</v>
      </c>
      <c r="D162" s="201"/>
      <c r="E162" s="201"/>
      <c r="F162" s="201"/>
      <c r="G162" s="201"/>
      <c r="H162" s="201"/>
      <c r="I162" s="201"/>
      <c r="J162" s="221"/>
    </row>
    <row r="163" spans="1:10" ht="13.5" thickBot="1" x14ac:dyDescent="0.25">
      <c r="A163" s="50"/>
      <c r="B163" s="2"/>
      <c r="C163" s="201"/>
      <c r="D163" s="201"/>
      <c r="E163" s="201"/>
      <c r="F163" s="201"/>
      <c r="G163" s="201"/>
      <c r="H163" s="201"/>
      <c r="I163" s="201"/>
      <c r="J163" s="221"/>
    </row>
    <row r="164" spans="1:10" ht="13.5" thickBot="1" x14ac:dyDescent="0.25">
      <c r="A164" s="50"/>
      <c r="B164" s="2"/>
      <c r="C164" s="201"/>
      <c r="D164" s="201"/>
      <c r="E164" s="201"/>
      <c r="F164" s="201"/>
      <c r="G164" s="201"/>
      <c r="H164" s="201"/>
      <c r="I164" s="201"/>
      <c r="J164" s="221"/>
    </row>
    <row r="165" spans="1:10" ht="13.5" thickBot="1" x14ac:dyDescent="0.25">
      <c r="A165" s="50"/>
      <c r="B165" s="2"/>
      <c r="C165" s="201"/>
      <c r="D165" s="201"/>
      <c r="E165" s="201"/>
      <c r="F165" s="201"/>
      <c r="G165" s="201"/>
      <c r="H165" s="201"/>
      <c r="I165" s="201"/>
      <c r="J165" s="221"/>
    </row>
    <row r="166" spans="1:10" ht="13.5" thickBot="1" x14ac:dyDescent="0.25">
      <c r="A166" s="50"/>
      <c r="B166" s="2"/>
      <c r="C166" s="201"/>
      <c r="D166" s="201"/>
      <c r="E166" s="201"/>
      <c r="F166" s="201"/>
      <c r="G166" s="201"/>
      <c r="H166" s="201"/>
      <c r="I166" s="201"/>
      <c r="J166" s="221"/>
    </row>
    <row r="167" spans="1:10" x14ac:dyDescent="0.2">
      <c r="A167" s="50"/>
      <c r="B167" s="2"/>
      <c r="C167" s="2"/>
      <c r="D167" s="2"/>
      <c r="E167" s="2"/>
      <c r="F167" s="2"/>
      <c r="G167" s="2"/>
      <c r="H167" s="37"/>
      <c r="I167" s="2"/>
      <c r="J167" s="61"/>
    </row>
    <row r="168" spans="1:10" x14ac:dyDescent="0.2">
      <c r="A168" s="50"/>
      <c r="B168" s="2"/>
      <c r="C168" s="2"/>
      <c r="D168" s="2"/>
      <c r="E168" s="2"/>
      <c r="F168" s="2"/>
      <c r="G168" s="2"/>
      <c r="H168" s="37"/>
      <c r="I168" s="2"/>
      <c r="J168" s="61"/>
    </row>
    <row r="169" spans="1:10" ht="12.75" customHeight="1" x14ac:dyDescent="0.2">
      <c r="A169" s="222" t="s">
        <v>6</v>
      </c>
      <c r="B169" s="202"/>
      <c r="C169" s="202"/>
      <c r="D169" s="202"/>
      <c r="E169" s="3"/>
      <c r="F169" s="4">
        <v>2026</v>
      </c>
      <c r="G169" s="4">
        <v>2027</v>
      </c>
      <c r="H169" s="34">
        <v>2028</v>
      </c>
      <c r="I169" s="4">
        <v>2029</v>
      </c>
      <c r="J169" s="51" t="s">
        <v>7</v>
      </c>
    </row>
    <row r="170" spans="1:10" ht="12.75" customHeight="1" x14ac:dyDescent="0.2">
      <c r="A170" s="223" t="s">
        <v>8</v>
      </c>
      <c r="B170" s="203"/>
      <c r="C170" s="203"/>
      <c r="D170" s="6"/>
      <c r="E170" s="7"/>
      <c r="F170" s="8">
        <f>F174+F176</f>
        <v>1020000</v>
      </c>
      <c r="G170" s="8">
        <f>G174+G176</f>
        <v>1040000</v>
      </c>
      <c r="H170" s="8">
        <f>H174+H176</f>
        <v>1060000</v>
      </c>
      <c r="I170" s="8">
        <f>I174+I176</f>
        <v>1080000</v>
      </c>
      <c r="J170" s="52">
        <f>SUM(F170:I170)</f>
        <v>4200000</v>
      </c>
    </row>
    <row r="171" spans="1:10" x14ac:dyDescent="0.2">
      <c r="A171" s="53"/>
      <c r="B171" s="11"/>
      <c r="C171" s="194"/>
      <c r="D171" s="194"/>
      <c r="E171" s="194"/>
      <c r="F171" s="12"/>
      <c r="G171" s="12"/>
      <c r="H171" s="35"/>
      <c r="I171" s="12"/>
      <c r="J171" s="54"/>
    </row>
    <row r="172" spans="1:10" ht="12.75" customHeight="1" x14ac:dyDescent="0.2">
      <c r="A172" s="224" t="s">
        <v>9</v>
      </c>
      <c r="B172" s="196" t="s">
        <v>10</v>
      </c>
      <c r="C172" s="196" t="s">
        <v>11</v>
      </c>
      <c r="D172" s="196"/>
      <c r="E172" s="196"/>
      <c r="F172" s="177">
        <f>F169</f>
        <v>2026</v>
      </c>
      <c r="G172" s="177">
        <f>G169</f>
        <v>2027</v>
      </c>
      <c r="H172" s="193">
        <f>H169</f>
        <v>2028</v>
      </c>
      <c r="I172" s="177">
        <f>I169</f>
        <v>2029</v>
      </c>
      <c r="J172" s="225" t="s">
        <v>12</v>
      </c>
    </row>
    <row r="173" spans="1:10" x14ac:dyDescent="0.2">
      <c r="A173" s="224"/>
      <c r="B173" s="196"/>
      <c r="C173" s="196"/>
      <c r="D173" s="196"/>
      <c r="E173" s="196"/>
      <c r="F173" s="177"/>
      <c r="G173" s="177"/>
      <c r="H173" s="193"/>
      <c r="I173" s="177"/>
      <c r="J173" s="225"/>
    </row>
    <row r="174" spans="1:10" ht="13.5" thickBot="1" x14ac:dyDescent="0.25">
      <c r="A174" s="55" t="s">
        <v>13</v>
      </c>
      <c r="B174" s="177">
        <v>2028</v>
      </c>
      <c r="C174" s="192" t="s">
        <v>213</v>
      </c>
      <c r="D174" s="192"/>
      <c r="E174" s="192"/>
      <c r="F174" s="175">
        <f>'Anexo IV -Projetos e Ativid '!D51</f>
        <v>670000</v>
      </c>
      <c r="G174" s="175">
        <f>'Anexo IV -Projetos e Ativid '!E51</f>
        <v>680000</v>
      </c>
      <c r="H174" s="175">
        <f>'Anexo IV -Projetos e Ativid '!F51</f>
        <v>690000</v>
      </c>
      <c r="I174" s="175">
        <f>'Anexo IV -Projetos e Ativid '!G51</f>
        <v>700000</v>
      </c>
      <c r="J174" s="219">
        <f>SUM(F174:I174)</f>
        <v>2740000</v>
      </c>
    </row>
    <row r="175" spans="1:10" ht="13.5" thickBot="1" x14ac:dyDescent="0.25">
      <c r="A175" s="56"/>
      <c r="B175" s="177"/>
      <c r="C175" s="192"/>
      <c r="D175" s="192"/>
      <c r="E175" s="192"/>
      <c r="F175" s="175"/>
      <c r="G175" s="175"/>
      <c r="H175" s="175"/>
      <c r="I175" s="175"/>
      <c r="J175" s="219"/>
    </row>
    <row r="176" spans="1:10" ht="13.5" thickBot="1" x14ac:dyDescent="0.25">
      <c r="A176" s="55" t="s">
        <v>13</v>
      </c>
      <c r="B176" s="177">
        <v>2025</v>
      </c>
      <c r="C176" s="192" t="s">
        <v>211</v>
      </c>
      <c r="D176" s="192"/>
      <c r="E176" s="192"/>
      <c r="F176" s="175">
        <f>'Anexo IV -Projetos e Ativid '!D45</f>
        <v>350000</v>
      </c>
      <c r="G176" s="175">
        <f>'Anexo IV -Projetos e Ativid '!E45</f>
        <v>360000</v>
      </c>
      <c r="H176" s="175">
        <f>'Anexo IV -Projetos e Ativid '!F45</f>
        <v>370000</v>
      </c>
      <c r="I176" s="175">
        <f>'Anexo IV -Projetos e Ativid '!G45</f>
        <v>380000</v>
      </c>
      <c r="J176" s="219">
        <f>SUM(F176:I176)</f>
        <v>1460000</v>
      </c>
    </row>
    <row r="177" spans="1:10" ht="13.5" thickBot="1" x14ac:dyDescent="0.25">
      <c r="A177" s="56"/>
      <c r="B177" s="177"/>
      <c r="C177" s="192"/>
      <c r="D177" s="192"/>
      <c r="E177" s="192"/>
      <c r="F177" s="175"/>
      <c r="G177" s="175"/>
      <c r="H177" s="175"/>
      <c r="I177" s="175"/>
      <c r="J177" s="219"/>
    </row>
    <row r="178" spans="1:10" ht="13.5" thickBot="1" x14ac:dyDescent="0.25">
      <c r="A178" s="59"/>
      <c r="J178" s="60"/>
    </row>
    <row r="179" spans="1:10" ht="13.5" customHeight="1" thickBot="1" x14ac:dyDescent="0.25">
      <c r="A179" s="220" t="s">
        <v>2</v>
      </c>
      <c r="B179" s="200"/>
      <c r="C179" s="201" t="str">
        <f>'[1]Anexo II - Resumo dos Programas'!B14</f>
        <v>Assistência ao Educando</v>
      </c>
      <c r="D179" s="201"/>
      <c r="E179" s="201"/>
      <c r="F179" s="201"/>
      <c r="G179" s="201"/>
      <c r="H179" s="201"/>
      <c r="I179" s="201"/>
      <c r="J179" s="221"/>
    </row>
    <row r="180" spans="1:10" ht="12.75" customHeight="1" thickBot="1" x14ac:dyDescent="0.25">
      <c r="A180" s="220" t="s">
        <v>4</v>
      </c>
      <c r="B180" s="200"/>
      <c r="C180" s="201" t="s">
        <v>26</v>
      </c>
      <c r="D180" s="201"/>
      <c r="E180" s="201"/>
      <c r="F180" s="201"/>
      <c r="G180" s="201"/>
      <c r="H180" s="201"/>
      <c r="I180" s="201"/>
      <c r="J180" s="221"/>
    </row>
    <row r="181" spans="1:10" ht="13.5" thickBot="1" x14ac:dyDescent="0.25">
      <c r="A181" s="50"/>
      <c r="B181" s="2"/>
      <c r="C181" s="201"/>
      <c r="D181" s="201"/>
      <c r="E181" s="201"/>
      <c r="F181" s="201"/>
      <c r="G181" s="201"/>
      <c r="H181" s="201"/>
      <c r="I181" s="201"/>
      <c r="J181" s="221"/>
    </row>
    <row r="182" spans="1:10" ht="13.5" thickBot="1" x14ac:dyDescent="0.25">
      <c r="A182" s="50"/>
      <c r="B182" s="2"/>
      <c r="C182" s="201"/>
      <c r="D182" s="201"/>
      <c r="E182" s="201"/>
      <c r="F182" s="201"/>
      <c r="G182" s="201"/>
      <c r="H182" s="201"/>
      <c r="I182" s="201"/>
      <c r="J182" s="221"/>
    </row>
    <row r="183" spans="1:10" ht="13.5" thickBot="1" x14ac:dyDescent="0.25">
      <c r="A183" s="50"/>
      <c r="B183" s="2"/>
      <c r="C183" s="201"/>
      <c r="D183" s="201"/>
      <c r="E183" s="201"/>
      <c r="F183" s="201"/>
      <c r="G183" s="201"/>
      <c r="H183" s="201"/>
      <c r="I183" s="201"/>
      <c r="J183" s="221"/>
    </row>
    <row r="184" spans="1:10" ht="13.5" thickBot="1" x14ac:dyDescent="0.25">
      <c r="A184" s="50"/>
      <c r="B184" s="2"/>
      <c r="C184" s="201"/>
      <c r="D184" s="201"/>
      <c r="E184" s="201"/>
      <c r="F184" s="201"/>
      <c r="G184" s="201"/>
      <c r="H184" s="201"/>
      <c r="I184" s="201"/>
      <c r="J184" s="221"/>
    </row>
    <row r="185" spans="1:10" ht="12.75" customHeight="1" x14ac:dyDescent="0.2">
      <c r="A185" s="222" t="s">
        <v>6</v>
      </c>
      <c r="B185" s="202"/>
      <c r="C185" s="202"/>
      <c r="D185" s="202"/>
      <c r="E185" s="3"/>
      <c r="F185" s="4">
        <v>2026</v>
      </c>
      <c r="G185" s="4">
        <v>2027</v>
      </c>
      <c r="H185" s="34">
        <v>2028</v>
      </c>
      <c r="I185" s="4">
        <v>2029</v>
      </c>
      <c r="J185" s="51" t="s">
        <v>7</v>
      </c>
    </row>
    <row r="186" spans="1:10" ht="12.75" customHeight="1" x14ac:dyDescent="0.2">
      <c r="A186" s="223" t="s">
        <v>8</v>
      </c>
      <c r="B186" s="203"/>
      <c r="C186" s="203"/>
      <c r="D186" s="6"/>
      <c r="E186" s="7"/>
      <c r="F186" s="8">
        <f>F190+F192+F194</f>
        <v>2670000</v>
      </c>
      <c r="G186" s="8">
        <f>G190+G192+G194</f>
        <v>2740000</v>
      </c>
      <c r="H186" s="106">
        <f>H190+H192+H194</f>
        <v>2810000</v>
      </c>
      <c r="I186" s="8">
        <f>I190+I192+I194</f>
        <v>2880000</v>
      </c>
      <c r="J186" s="52">
        <f>SUM(F186:I186)</f>
        <v>11100000</v>
      </c>
    </row>
    <row r="187" spans="1:10" x14ac:dyDescent="0.2">
      <c r="A187" s="53"/>
      <c r="B187" s="11"/>
      <c r="C187" s="194"/>
      <c r="D187" s="194"/>
      <c r="E187" s="194"/>
      <c r="F187" s="12"/>
      <c r="G187" s="12"/>
      <c r="H187" s="35"/>
      <c r="I187" s="12"/>
      <c r="J187" s="54"/>
    </row>
    <row r="188" spans="1:10" ht="12.75" customHeight="1" x14ac:dyDescent="0.2">
      <c r="A188" s="224" t="s">
        <v>9</v>
      </c>
      <c r="B188" s="196" t="s">
        <v>10</v>
      </c>
      <c r="C188" s="196" t="s">
        <v>11</v>
      </c>
      <c r="D188" s="196"/>
      <c r="E188" s="196"/>
      <c r="F188" s="177">
        <f>F185</f>
        <v>2026</v>
      </c>
      <c r="G188" s="177">
        <f>G185</f>
        <v>2027</v>
      </c>
      <c r="H188" s="193">
        <f>H185</f>
        <v>2028</v>
      </c>
      <c r="I188" s="177">
        <f>I185</f>
        <v>2029</v>
      </c>
      <c r="J188" s="225" t="s">
        <v>12</v>
      </c>
    </row>
    <row r="189" spans="1:10" x14ac:dyDescent="0.2">
      <c r="A189" s="224"/>
      <c r="B189" s="196"/>
      <c r="C189" s="196"/>
      <c r="D189" s="196"/>
      <c r="E189" s="196"/>
      <c r="F189" s="177"/>
      <c r="G189" s="177"/>
      <c r="H189" s="193"/>
      <c r="I189" s="177"/>
      <c r="J189" s="225"/>
    </row>
    <row r="190" spans="1:10" ht="13.5" thickBot="1" x14ac:dyDescent="0.25">
      <c r="A190" s="55" t="s">
        <v>13</v>
      </c>
      <c r="B190" s="177">
        <v>2026</v>
      </c>
      <c r="C190" s="192" t="s">
        <v>222</v>
      </c>
      <c r="D190" s="192"/>
      <c r="E190" s="192"/>
      <c r="F190" s="175">
        <f>'Anexo IV -Projetos e Ativid '!D46</f>
        <v>960000</v>
      </c>
      <c r="G190" s="175">
        <f>'Anexo IV -Projetos e Ativid '!E46</f>
        <v>970000</v>
      </c>
      <c r="H190" s="175">
        <f>'Anexo IV -Projetos e Ativid '!F46</f>
        <v>980000</v>
      </c>
      <c r="I190" s="175">
        <f>'Anexo IV -Projetos e Ativid '!G46</f>
        <v>990000</v>
      </c>
      <c r="J190" s="219">
        <f>SUM(F190:I190)</f>
        <v>3900000</v>
      </c>
    </row>
    <row r="191" spans="1:10" ht="13.5" thickBot="1" x14ac:dyDescent="0.25">
      <c r="A191" s="56"/>
      <c r="B191" s="177"/>
      <c r="C191" s="192"/>
      <c r="D191" s="192"/>
      <c r="E191" s="192"/>
      <c r="F191" s="175"/>
      <c r="G191" s="175"/>
      <c r="H191" s="175"/>
      <c r="I191" s="175"/>
      <c r="J191" s="219"/>
    </row>
    <row r="192" spans="1:10" ht="13.5" thickBot="1" x14ac:dyDescent="0.25">
      <c r="A192" s="55" t="s">
        <v>13</v>
      </c>
      <c r="B192" s="177">
        <v>2029</v>
      </c>
      <c r="C192" s="192" t="s">
        <v>223</v>
      </c>
      <c r="D192" s="192"/>
      <c r="E192" s="192"/>
      <c r="F192" s="175">
        <f>'Anexo IV -Projetos e Ativid '!D47</f>
        <v>1100000</v>
      </c>
      <c r="G192" s="175">
        <f>'Anexo IV -Projetos e Ativid '!E47</f>
        <v>1150000</v>
      </c>
      <c r="H192" s="175">
        <f>'Anexo IV -Projetos e Ativid '!F47</f>
        <v>1200000</v>
      </c>
      <c r="I192" s="175">
        <f>'Anexo IV -Projetos e Ativid '!G47</f>
        <v>1250000</v>
      </c>
      <c r="J192" s="219">
        <f>SUM(F192:I192)</f>
        <v>4700000</v>
      </c>
    </row>
    <row r="193" spans="1:10" ht="13.5" thickBot="1" x14ac:dyDescent="0.25">
      <c r="A193" s="56"/>
      <c r="B193" s="177"/>
      <c r="C193" s="192"/>
      <c r="D193" s="192"/>
      <c r="E193" s="192"/>
      <c r="F193" s="175"/>
      <c r="G193" s="175"/>
      <c r="H193" s="175"/>
      <c r="I193" s="175"/>
      <c r="J193" s="219"/>
    </row>
    <row r="194" spans="1:10" ht="13.5" thickBot="1" x14ac:dyDescent="0.25">
      <c r="A194" s="55" t="s">
        <v>13</v>
      </c>
      <c r="B194" s="177">
        <v>2034</v>
      </c>
      <c r="C194" s="192" t="s">
        <v>226</v>
      </c>
      <c r="D194" s="192"/>
      <c r="E194" s="192"/>
      <c r="F194" s="175">
        <f>'Anexo IV -Projetos e Ativid '!D48</f>
        <v>610000</v>
      </c>
      <c r="G194" s="175">
        <f>'Anexo IV -Projetos e Ativid '!E48</f>
        <v>620000</v>
      </c>
      <c r="H194" s="175">
        <f>'Anexo IV -Projetos e Ativid '!F48</f>
        <v>630000</v>
      </c>
      <c r="I194" s="175">
        <f>'Anexo IV -Projetos e Ativid '!G48</f>
        <v>640000</v>
      </c>
      <c r="J194" s="219">
        <f>SUM(F194:I194)</f>
        <v>2500000</v>
      </c>
    </row>
    <row r="195" spans="1:10" ht="13.5" thickBot="1" x14ac:dyDescent="0.25">
      <c r="A195" s="56"/>
      <c r="B195" s="177"/>
      <c r="C195" s="192"/>
      <c r="D195" s="192"/>
      <c r="E195" s="192"/>
      <c r="F195" s="175"/>
      <c r="G195" s="175"/>
      <c r="H195" s="175"/>
      <c r="I195" s="175"/>
      <c r="J195" s="219"/>
    </row>
    <row r="196" spans="1:10" ht="13.5" thickBot="1" x14ac:dyDescent="0.25">
      <c r="A196" s="62"/>
      <c r="B196" s="63"/>
      <c r="C196" s="63"/>
      <c r="D196" s="63"/>
      <c r="E196" s="63"/>
      <c r="F196" s="63"/>
      <c r="G196" s="63"/>
      <c r="H196" s="64"/>
      <c r="I196" s="63"/>
      <c r="J196" s="65"/>
    </row>
    <row r="197" spans="1:10" ht="13.5" customHeight="1" thickBot="1" x14ac:dyDescent="0.25">
      <c r="A197" s="200" t="s">
        <v>2</v>
      </c>
      <c r="B197" s="200"/>
      <c r="C197" s="201" t="str">
        <f>'[1]Anexo II - Resumo dos Programas'!B11</f>
        <v>Desenvolvimento do Turismo</v>
      </c>
      <c r="D197" s="201"/>
      <c r="E197" s="201"/>
      <c r="F197" s="201"/>
      <c r="G197" s="201"/>
      <c r="H197" s="201"/>
      <c r="I197" s="201"/>
      <c r="J197" s="201"/>
    </row>
    <row r="198" spans="1:10" ht="12.75" customHeight="1" x14ac:dyDescent="0.2">
      <c r="A198" s="200" t="s">
        <v>4</v>
      </c>
      <c r="B198" s="200"/>
      <c r="C198" s="201" t="s">
        <v>22</v>
      </c>
      <c r="D198" s="201"/>
      <c r="E198" s="201"/>
      <c r="F198" s="201"/>
      <c r="G198" s="201"/>
      <c r="H198" s="201"/>
      <c r="I198" s="201"/>
      <c r="J198" s="201"/>
    </row>
    <row r="199" spans="1:10" x14ac:dyDescent="0.2">
      <c r="A199" s="2"/>
      <c r="B199" s="2"/>
      <c r="C199" s="201"/>
      <c r="D199" s="201"/>
      <c r="E199" s="201"/>
      <c r="F199" s="201"/>
      <c r="G199" s="201"/>
      <c r="H199" s="201"/>
      <c r="I199" s="201"/>
      <c r="J199" s="201"/>
    </row>
    <row r="200" spans="1:10" x14ac:dyDescent="0.2">
      <c r="A200" s="2"/>
      <c r="B200" s="2"/>
      <c r="C200" s="201"/>
      <c r="D200" s="201"/>
      <c r="E200" s="201"/>
      <c r="F200" s="201"/>
      <c r="G200" s="201"/>
      <c r="H200" s="201"/>
      <c r="I200" s="201"/>
      <c r="J200" s="201"/>
    </row>
    <row r="201" spans="1:10" x14ac:dyDescent="0.2">
      <c r="A201" s="2"/>
      <c r="B201" s="2"/>
      <c r="C201" s="201"/>
      <c r="D201" s="201"/>
      <c r="E201" s="201"/>
      <c r="F201" s="201"/>
      <c r="G201" s="201"/>
      <c r="H201" s="201"/>
      <c r="I201" s="201"/>
      <c r="J201" s="201"/>
    </row>
    <row r="202" spans="1:10" x14ac:dyDescent="0.2">
      <c r="A202" s="2"/>
      <c r="B202" s="2"/>
      <c r="C202" s="201"/>
      <c r="D202" s="201"/>
      <c r="E202" s="201"/>
      <c r="F202" s="201"/>
      <c r="G202" s="201"/>
      <c r="H202" s="201"/>
      <c r="I202" s="201"/>
      <c r="J202" s="201"/>
    </row>
    <row r="203" spans="1:10" ht="12.75" customHeight="1" x14ac:dyDescent="0.2">
      <c r="A203" s="202" t="s">
        <v>6</v>
      </c>
      <c r="B203" s="202"/>
      <c r="C203" s="202"/>
      <c r="D203" s="202"/>
      <c r="E203" s="3"/>
      <c r="F203" s="4">
        <v>2026</v>
      </c>
      <c r="G203" s="4">
        <v>2027</v>
      </c>
      <c r="H203" s="34">
        <v>2028</v>
      </c>
      <c r="I203" s="4">
        <v>2029</v>
      </c>
      <c r="J203" s="5" t="s">
        <v>7</v>
      </c>
    </row>
    <row r="204" spans="1:10" ht="12.75" customHeight="1" x14ac:dyDescent="0.2">
      <c r="A204" s="203" t="s">
        <v>8</v>
      </c>
      <c r="B204" s="203"/>
      <c r="C204" s="203"/>
      <c r="D204" s="6"/>
      <c r="E204" s="7"/>
      <c r="F204" s="8">
        <f>F208+F210+F212</f>
        <v>3980000</v>
      </c>
      <c r="G204" s="8">
        <f>G208+G210+G212</f>
        <v>4050000</v>
      </c>
      <c r="H204" s="106">
        <f>H208+H210+H212</f>
        <v>4180000</v>
      </c>
      <c r="I204" s="8">
        <f>I208+I210+I212</f>
        <v>4360000</v>
      </c>
      <c r="J204" s="9">
        <f>SUM(F204:I204)</f>
        <v>16570000</v>
      </c>
    </row>
    <row r="205" spans="1:10" x14ac:dyDescent="0.2">
      <c r="A205" s="10"/>
      <c r="B205" s="11"/>
      <c r="C205" s="194"/>
      <c r="D205" s="194"/>
      <c r="E205" s="194"/>
      <c r="F205" s="12"/>
      <c r="G205" s="12"/>
      <c r="H205" s="35"/>
      <c r="I205" s="12"/>
      <c r="J205" s="13"/>
    </row>
    <row r="206" spans="1:10" ht="12.75" customHeight="1" x14ac:dyDescent="0.2">
      <c r="A206" s="195" t="s">
        <v>9</v>
      </c>
      <c r="B206" s="196" t="s">
        <v>10</v>
      </c>
      <c r="C206" s="196" t="s">
        <v>11</v>
      </c>
      <c r="D206" s="196"/>
      <c r="E206" s="196"/>
      <c r="F206" s="177">
        <f>F203</f>
        <v>2026</v>
      </c>
      <c r="G206" s="177">
        <f>G203</f>
        <v>2027</v>
      </c>
      <c r="H206" s="193">
        <f>H203</f>
        <v>2028</v>
      </c>
      <c r="I206" s="177">
        <f>I203</f>
        <v>2029</v>
      </c>
      <c r="J206" s="197" t="s">
        <v>12</v>
      </c>
    </row>
    <row r="207" spans="1:10" x14ac:dyDescent="0.2">
      <c r="A207" s="195"/>
      <c r="B207" s="196"/>
      <c r="C207" s="196"/>
      <c r="D207" s="196"/>
      <c r="E207" s="196"/>
      <c r="F207" s="177"/>
      <c r="G207" s="177"/>
      <c r="H207" s="193"/>
      <c r="I207" s="177"/>
      <c r="J207" s="197"/>
    </row>
    <row r="208" spans="1:10" ht="12.75" customHeight="1" x14ac:dyDescent="0.2">
      <c r="A208" s="14" t="s">
        <v>13</v>
      </c>
      <c r="B208" s="177">
        <v>2018</v>
      </c>
      <c r="C208" s="192" t="s">
        <v>23</v>
      </c>
      <c r="D208" s="192"/>
      <c r="E208" s="192"/>
      <c r="F208" s="175">
        <f>'Anexo IV -Projetos e Ativid '!D117</f>
        <v>720000</v>
      </c>
      <c r="G208" s="175">
        <f>'Anexo IV -Projetos e Ativid '!E117</f>
        <v>750000</v>
      </c>
      <c r="H208" s="175">
        <f>'Anexo IV -Projetos e Ativid '!F117</f>
        <v>780000</v>
      </c>
      <c r="I208" s="175">
        <f>'Anexo IV -Projetos e Ativid '!G117</f>
        <v>810000</v>
      </c>
      <c r="J208" s="198">
        <f>SUM(F208:I208)</f>
        <v>3060000</v>
      </c>
    </row>
    <row r="209" spans="1:10" ht="13.5" thickBot="1" x14ac:dyDescent="0.25">
      <c r="A209" s="15"/>
      <c r="B209" s="177"/>
      <c r="C209" s="192"/>
      <c r="D209" s="192"/>
      <c r="E209" s="192"/>
      <c r="F209" s="175"/>
      <c r="G209" s="175"/>
      <c r="H209" s="175"/>
      <c r="I209" s="175"/>
      <c r="J209" s="198"/>
    </row>
    <row r="210" spans="1:10" ht="13.5" thickBot="1" x14ac:dyDescent="0.25">
      <c r="A210" s="14" t="s">
        <v>13</v>
      </c>
      <c r="B210" s="177">
        <v>2019</v>
      </c>
      <c r="C210" s="192" t="str">
        <f>'[2]Projetos e Atividades'!$B$28</f>
        <v xml:space="preserve">CALENDÁRIO DE EVENTOS </v>
      </c>
      <c r="D210" s="192"/>
      <c r="E210" s="192"/>
      <c r="F210" s="175">
        <f>'Anexo IV -Projetos e Ativid '!D118</f>
        <v>3000000</v>
      </c>
      <c r="G210" s="175">
        <f>'Anexo IV -Projetos e Ativid '!E118</f>
        <v>3100000</v>
      </c>
      <c r="H210" s="175">
        <f>'Anexo IV -Projetos e Ativid '!F118</f>
        <v>3200000</v>
      </c>
      <c r="I210" s="175">
        <f>'Anexo IV -Projetos e Ativid '!G118</f>
        <v>3300000</v>
      </c>
      <c r="J210" s="198">
        <f>SUM(F210:I210)</f>
        <v>12600000</v>
      </c>
    </row>
    <row r="211" spans="1:10" ht="13.5" thickBot="1" x14ac:dyDescent="0.25">
      <c r="A211" s="15"/>
      <c r="B211" s="177"/>
      <c r="C211" s="192"/>
      <c r="D211" s="192"/>
      <c r="E211" s="192"/>
      <c r="F211" s="175"/>
      <c r="G211" s="175"/>
      <c r="H211" s="175"/>
      <c r="I211" s="175"/>
      <c r="J211" s="198"/>
    </row>
    <row r="212" spans="1:10" ht="13.5" thickBot="1" x14ac:dyDescent="0.25">
      <c r="A212" s="14" t="s">
        <v>13</v>
      </c>
      <c r="B212" s="177">
        <v>2097</v>
      </c>
      <c r="C212" s="192" t="str">
        <f>'Anexo IV -Projetos e Ativid '!C119</f>
        <v>MANUTENÇÃO DE ATIVIDADES DO DEPARAMENTO DE TURISMO</v>
      </c>
      <c r="D212" s="192"/>
      <c r="E212" s="192"/>
      <c r="F212" s="175">
        <f>'Anexo IV -Projetos e Ativid '!D119</f>
        <v>260000</v>
      </c>
      <c r="G212" s="175">
        <f>'Anexo IV -Projetos e Ativid '!E119</f>
        <v>200000</v>
      </c>
      <c r="H212" s="175">
        <f>'Anexo IV -Projetos e Ativid '!F119</f>
        <v>200000</v>
      </c>
      <c r="I212" s="175">
        <f>'Anexo IV -Projetos e Ativid '!G119</f>
        <v>250000</v>
      </c>
      <c r="J212" s="198">
        <f>SUM(F212:I212)</f>
        <v>910000</v>
      </c>
    </row>
    <row r="213" spans="1:10" x14ac:dyDescent="0.2">
      <c r="A213" s="15"/>
      <c r="B213" s="177"/>
      <c r="C213" s="192"/>
      <c r="D213" s="192"/>
      <c r="E213" s="192"/>
      <c r="F213" s="175"/>
      <c r="G213" s="175"/>
      <c r="H213" s="175"/>
      <c r="I213" s="175"/>
      <c r="J213" s="198"/>
    </row>
    <row r="214" spans="1:10" ht="13.5" thickBot="1" x14ac:dyDescent="0.25"/>
    <row r="215" spans="1:10" ht="13.5" customHeight="1" thickBot="1" x14ac:dyDescent="0.25">
      <c r="A215" s="200" t="s">
        <v>2</v>
      </c>
      <c r="B215" s="200"/>
      <c r="C215" s="215" t="str">
        <f>'[1]Anexo II - Resumo dos Programas'!B15</f>
        <v>Desenvolvimento da Cultura</v>
      </c>
      <c r="D215" s="216"/>
      <c r="E215" s="216"/>
      <c r="F215" s="216"/>
      <c r="G215" s="216"/>
      <c r="H215" s="216"/>
      <c r="I215" s="216"/>
      <c r="J215" s="217"/>
    </row>
    <row r="216" spans="1:10" ht="12.75" customHeight="1" thickBot="1" x14ac:dyDescent="0.25">
      <c r="A216" s="200" t="s">
        <v>4</v>
      </c>
      <c r="B216" s="200"/>
      <c r="C216" s="218" t="s">
        <v>27</v>
      </c>
      <c r="D216" s="218"/>
      <c r="E216" s="218"/>
      <c r="F216" s="218"/>
      <c r="G216" s="218"/>
      <c r="H216" s="218"/>
      <c r="I216" s="218"/>
      <c r="J216" s="218"/>
    </row>
    <row r="217" spans="1:10" ht="13.5" thickBot="1" x14ac:dyDescent="0.25">
      <c r="A217" s="2"/>
      <c r="B217" s="2"/>
      <c r="C217" s="201"/>
      <c r="D217" s="201"/>
      <c r="E217" s="201"/>
      <c r="F217" s="201"/>
      <c r="G217" s="201"/>
      <c r="H217" s="201"/>
      <c r="I217" s="201"/>
      <c r="J217" s="201"/>
    </row>
    <row r="218" spans="1:10" x14ac:dyDescent="0.2">
      <c r="A218" s="2"/>
      <c r="B218" s="2"/>
      <c r="C218" s="201"/>
      <c r="D218" s="201"/>
      <c r="E218" s="201"/>
      <c r="F218" s="201"/>
      <c r="G218" s="201"/>
      <c r="H218" s="201"/>
      <c r="I218" s="201"/>
      <c r="J218" s="201"/>
    </row>
    <row r="219" spans="1:10" x14ac:dyDescent="0.2">
      <c r="A219" s="2"/>
      <c r="B219" s="2"/>
      <c r="C219" s="201"/>
      <c r="D219" s="201"/>
      <c r="E219" s="201"/>
      <c r="F219" s="201"/>
      <c r="G219" s="201"/>
      <c r="H219" s="201"/>
      <c r="I219" s="201"/>
      <c r="J219" s="201"/>
    </row>
    <row r="220" spans="1:10" x14ac:dyDescent="0.2">
      <c r="A220" s="2"/>
      <c r="B220" s="2"/>
      <c r="C220" s="201"/>
      <c r="D220" s="201"/>
      <c r="E220" s="201"/>
      <c r="F220" s="201"/>
      <c r="G220" s="201"/>
      <c r="H220" s="201"/>
      <c r="I220" s="201"/>
      <c r="J220" s="201"/>
    </row>
    <row r="221" spans="1:10" ht="12.75" customHeight="1" x14ac:dyDescent="0.2">
      <c r="A221" s="202" t="s">
        <v>6</v>
      </c>
      <c r="B221" s="202"/>
      <c r="C221" s="202"/>
      <c r="D221" s="202"/>
      <c r="E221" s="3"/>
      <c r="F221" s="4">
        <v>2026</v>
      </c>
      <c r="G221" s="4">
        <v>2027</v>
      </c>
      <c r="H221" s="34">
        <v>2028</v>
      </c>
      <c r="I221" s="4">
        <v>2029</v>
      </c>
      <c r="J221" s="5" t="s">
        <v>7</v>
      </c>
    </row>
    <row r="222" spans="1:10" ht="12.75" customHeight="1" x14ac:dyDescent="0.2">
      <c r="A222" s="203" t="s">
        <v>8</v>
      </c>
      <c r="B222" s="203"/>
      <c r="C222" s="203"/>
      <c r="D222" s="6"/>
      <c r="E222" s="7"/>
      <c r="F222" s="8">
        <f>F226+F228</f>
        <v>1477000</v>
      </c>
      <c r="G222" s="8">
        <f>G226+G228</f>
        <v>1487000</v>
      </c>
      <c r="H222" s="8">
        <f>H226+H228</f>
        <v>1497000</v>
      </c>
      <c r="I222" s="8">
        <f>I226+I228</f>
        <v>1507000</v>
      </c>
      <c r="J222" s="9">
        <f>SUM(F222:I222)</f>
        <v>5968000</v>
      </c>
    </row>
    <row r="223" spans="1:10" x14ac:dyDescent="0.2">
      <c r="A223" s="10"/>
      <c r="B223" s="11"/>
      <c r="C223" s="194"/>
      <c r="D223" s="194"/>
      <c r="E223" s="194"/>
      <c r="F223" s="12"/>
      <c r="G223" s="12"/>
      <c r="H223" s="35"/>
      <c r="I223" s="12"/>
      <c r="J223" s="13"/>
    </row>
    <row r="224" spans="1:10" ht="12.75" customHeight="1" x14ac:dyDescent="0.2">
      <c r="A224" s="195" t="s">
        <v>9</v>
      </c>
      <c r="B224" s="196" t="s">
        <v>10</v>
      </c>
      <c r="C224" s="196" t="s">
        <v>11</v>
      </c>
      <c r="D224" s="196"/>
      <c r="E224" s="196"/>
      <c r="F224" s="177">
        <f>F221</f>
        <v>2026</v>
      </c>
      <c r="G224" s="177">
        <f>G221</f>
        <v>2027</v>
      </c>
      <c r="H224" s="193">
        <f>H221</f>
        <v>2028</v>
      </c>
      <c r="I224" s="177">
        <f>I221</f>
        <v>2029</v>
      </c>
      <c r="J224" s="197" t="s">
        <v>12</v>
      </c>
    </row>
    <row r="225" spans="1:10" x14ac:dyDescent="0.2">
      <c r="A225" s="195"/>
      <c r="B225" s="196"/>
      <c r="C225" s="196"/>
      <c r="D225" s="196"/>
      <c r="E225" s="196"/>
      <c r="F225" s="177"/>
      <c r="G225" s="177"/>
      <c r="H225" s="193"/>
      <c r="I225" s="177"/>
      <c r="J225" s="197"/>
    </row>
    <row r="226" spans="1:10" ht="13.5" thickBot="1" x14ac:dyDescent="0.25">
      <c r="A226" s="14" t="s">
        <v>13</v>
      </c>
      <c r="B226" s="177">
        <v>2031</v>
      </c>
      <c r="C226" s="192" t="str">
        <f>'[2]Projetos e Atividades'!$B$44</f>
        <v>MANUTENÇÃO DO DEPARTAMENTO DE CULTURA</v>
      </c>
      <c r="D226" s="192"/>
      <c r="E226" s="192"/>
      <c r="F226" s="175">
        <f>'Anexo IV -Projetos e Ativid '!D116</f>
        <v>1305000</v>
      </c>
      <c r="G226" s="175">
        <f>'Anexo IV -Projetos e Ativid '!E116</f>
        <v>1315000</v>
      </c>
      <c r="H226" s="175">
        <f>'Anexo IV -Projetos e Ativid '!F116</f>
        <v>1325000</v>
      </c>
      <c r="I226" s="175">
        <f>'Anexo IV -Projetos e Ativid '!G116</f>
        <v>1335000</v>
      </c>
      <c r="J226" s="198">
        <f>SUM(F226:I226)</f>
        <v>5280000</v>
      </c>
    </row>
    <row r="227" spans="1:10" ht="13.5" thickBot="1" x14ac:dyDescent="0.25">
      <c r="A227" s="15"/>
      <c r="B227" s="177"/>
      <c r="C227" s="192"/>
      <c r="D227" s="192"/>
      <c r="E227" s="192"/>
      <c r="F227" s="175"/>
      <c r="G227" s="175"/>
      <c r="H227" s="175"/>
      <c r="I227" s="175"/>
      <c r="J227" s="198"/>
    </row>
    <row r="228" spans="1:10" ht="13.5" thickBot="1" x14ac:dyDescent="0.25">
      <c r="A228" s="14" t="s">
        <v>13</v>
      </c>
      <c r="B228" s="177">
        <f>'Anexo IV -Projetos e Ativid '!B122</f>
        <v>2094</v>
      </c>
      <c r="C228" s="192" t="str">
        <f>'Anexo IV -Projetos e Ativid '!C122</f>
        <v>PATRIMÔNIO HISTÓRICO E CULTURAL</v>
      </c>
      <c r="D228" s="192"/>
      <c r="E228" s="192"/>
      <c r="F228" s="175">
        <f>'Anexo IV -Projetos e Ativid '!D122</f>
        <v>172000</v>
      </c>
      <c r="G228" s="175">
        <f>'Anexo IV -Projetos e Ativid '!E122</f>
        <v>172000</v>
      </c>
      <c r="H228" s="175">
        <f>'Anexo IV -Projetos e Ativid '!F122</f>
        <v>172000</v>
      </c>
      <c r="I228" s="175">
        <f>'Anexo IV -Projetos e Ativid '!G122</f>
        <v>172000</v>
      </c>
      <c r="J228" s="198">
        <f>SUM(F228:I228)</f>
        <v>688000</v>
      </c>
    </row>
    <row r="229" spans="1:10" x14ac:dyDescent="0.2">
      <c r="A229" s="15"/>
      <c r="B229" s="177"/>
      <c r="C229" s="192"/>
      <c r="D229" s="192"/>
      <c r="E229" s="192"/>
      <c r="F229" s="175"/>
      <c r="G229" s="175"/>
      <c r="H229" s="175"/>
      <c r="I229" s="175"/>
      <c r="J229" s="198"/>
    </row>
    <row r="231" spans="1:10" ht="13.5" customHeight="1" x14ac:dyDescent="0.2">
      <c r="A231" s="200" t="s">
        <v>2</v>
      </c>
      <c r="B231" s="200"/>
      <c r="C231" s="201" t="str">
        <f>'[1]Anexo II - Resumo dos Programas'!B16</f>
        <v>Promoção do Desporto e Lazer</v>
      </c>
      <c r="D231" s="201"/>
      <c r="E231" s="201"/>
      <c r="F231" s="201"/>
      <c r="G231" s="201"/>
      <c r="H231" s="201"/>
      <c r="I231" s="201"/>
      <c r="J231" s="201"/>
    </row>
    <row r="232" spans="1:10" ht="12.75" customHeight="1" x14ac:dyDescent="0.2">
      <c r="A232" s="200" t="s">
        <v>4</v>
      </c>
      <c r="B232" s="200"/>
      <c r="C232" s="201" t="s">
        <v>28</v>
      </c>
      <c r="D232" s="201"/>
      <c r="E232" s="201"/>
      <c r="F232" s="201"/>
      <c r="G232" s="201"/>
      <c r="H232" s="201"/>
      <c r="I232" s="201"/>
      <c r="J232" s="201"/>
    </row>
    <row r="233" spans="1:10" x14ac:dyDescent="0.2">
      <c r="A233" s="2"/>
      <c r="B233" s="2"/>
      <c r="C233" s="201"/>
      <c r="D233" s="201"/>
      <c r="E233" s="201"/>
      <c r="F233" s="201"/>
      <c r="G233" s="201"/>
      <c r="H233" s="201"/>
      <c r="I233" s="201"/>
      <c r="J233" s="201"/>
    </row>
    <row r="234" spans="1:10" x14ac:dyDescent="0.2">
      <c r="A234" s="2"/>
      <c r="B234" s="2"/>
      <c r="C234" s="201"/>
      <c r="D234" s="201"/>
      <c r="E234" s="201"/>
      <c r="F234" s="201"/>
      <c r="G234" s="201"/>
      <c r="H234" s="201"/>
      <c r="I234" s="201"/>
      <c r="J234" s="201"/>
    </row>
    <row r="235" spans="1:10" x14ac:dyDescent="0.2">
      <c r="A235" s="2"/>
      <c r="B235" s="2"/>
      <c r="C235" s="201"/>
      <c r="D235" s="201"/>
      <c r="E235" s="201"/>
      <c r="F235" s="201"/>
      <c r="G235" s="201"/>
      <c r="H235" s="201"/>
      <c r="I235" s="201"/>
      <c r="J235" s="201"/>
    </row>
    <row r="236" spans="1:10" x14ac:dyDescent="0.2">
      <c r="A236" s="2"/>
      <c r="B236" s="2"/>
      <c r="C236" s="201"/>
      <c r="D236" s="201"/>
      <c r="E236" s="201"/>
      <c r="F236" s="201"/>
      <c r="G236" s="201"/>
      <c r="H236" s="201"/>
      <c r="I236" s="201"/>
      <c r="J236" s="201"/>
    </row>
    <row r="237" spans="1:10" ht="12.75" customHeight="1" x14ac:dyDescent="0.2">
      <c r="A237" s="202" t="s">
        <v>6</v>
      </c>
      <c r="B237" s="202"/>
      <c r="C237" s="202"/>
      <c r="D237" s="202"/>
      <c r="E237" s="3"/>
      <c r="F237" s="4">
        <v>2026</v>
      </c>
      <c r="G237" s="4">
        <v>2027</v>
      </c>
      <c r="H237" s="34">
        <v>2028</v>
      </c>
      <c r="I237" s="4">
        <v>2029</v>
      </c>
      <c r="J237" s="5" t="s">
        <v>7</v>
      </c>
    </row>
    <row r="238" spans="1:10" ht="12.75" customHeight="1" x14ac:dyDescent="0.2">
      <c r="A238" s="203" t="s">
        <v>8</v>
      </c>
      <c r="B238" s="203"/>
      <c r="C238" s="203"/>
      <c r="D238" s="6"/>
      <c r="E238" s="7"/>
      <c r="F238" s="8">
        <f>SUM(F242:F247)</f>
        <v>3800000</v>
      </c>
      <c r="G238" s="8">
        <f>SUM(G242:G247)</f>
        <v>4010000</v>
      </c>
      <c r="H238" s="8">
        <f>SUM(H242:H247)</f>
        <v>4120000</v>
      </c>
      <c r="I238" s="8">
        <f>SUM(I242:I247)</f>
        <v>4230000</v>
      </c>
      <c r="J238" s="9">
        <f>SUM(F238:I238)</f>
        <v>16160000</v>
      </c>
    </row>
    <row r="239" spans="1:10" x14ac:dyDescent="0.2">
      <c r="A239" s="10"/>
      <c r="B239" s="11"/>
      <c r="C239" s="194"/>
      <c r="D239" s="194"/>
      <c r="E239" s="194"/>
      <c r="F239" s="12"/>
      <c r="G239" s="12"/>
      <c r="H239" s="35"/>
      <c r="I239" s="12"/>
      <c r="J239" s="13"/>
    </row>
    <row r="240" spans="1:10" ht="12.75" customHeight="1" x14ac:dyDescent="0.2">
      <c r="A240" s="195" t="s">
        <v>9</v>
      </c>
      <c r="B240" s="196" t="s">
        <v>10</v>
      </c>
      <c r="C240" s="196" t="s">
        <v>11</v>
      </c>
      <c r="D240" s="196"/>
      <c r="E240" s="196"/>
      <c r="F240" s="177">
        <f>F237</f>
        <v>2026</v>
      </c>
      <c r="G240" s="177">
        <f>G237</f>
        <v>2027</v>
      </c>
      <c r="H240" s="193">
        <f>H237</f>
        <v>2028</v>
      </c>
      <c r="I240" s="177">
        <f>I237</f>
        <v>2029</v>
      </c>
      <c r="J240" s="197" t="s">
        <v>12</v>
      </c>
    </row>
    <row r="241" spans="1:10" x14ac:dyDescent="0.2">
      <c r="A241" s="195"/>
      <c r="B241" s="196"/>
      <c r="C241" s="196"/>
      <c r="D241" s="196"/>
      <c r="E241" s="196"/>
      <c r="F241" s="177"/>
      <c r="G241" s="177"/>
      <c r="H241" s="193"/>
      <c r="I241" s="177"/>
      <c r="J241" s="197"/>
    </row>
    <row r="242" spans="1:10" ht="13.5" thickBot="1" x14ac:dyDescent="0.25">
      <c r="A242" s="14" t="s">
        <v>13</v>
      </c>
      <c r="B242" s="177">
        <v>2033</v>
      </c>
      <c r="C242" s="192" t="str">
        <f>'[2]Projetos e Atividades'!$B$46</f>
        <v>MANUTENÇÃO DO DEPARTAMENTO DE DESPORTO</v>
      </c>
      <c r="D242" s="192"/>
      <c r="E242" s="192"/>
      <c r="F242" s="175">
        <f>'Anexo IV -Projetos e Ativid '!D120</f>
        <v>1200000</v>
      </c>
      <c r="G242" s="175">
        <f>'Anexo IV -Projetos e Ativid '!E120</f>
        <v>1210000</v>
      </c>
      <c r="H242" s="175">
        <f>'Anexo IV -Projetos e Ativid '!F120</f>
        <v>1220000</v>
      </c>
      <c r="I242" s="175">
        <f>'Anexo IV -Projetos e Ativid '!G120</f>
        <v>1230000</v>
      </c>
      <c r="J242" s="198">
        <f>SUM(F242:I242)</f>
        <v>4860000</v>
      </c>
    </row>
    <row r="243" spans="1:10" ht="13.5" thickBot="1" x14ac:dyDescent="0.25">
      <c r="A243" s="15"/>
      <c r="B243" s="177"/>
      <c r="C243" s="192"/>
      <c r="D243" s="192"/>
      <c r="E243" s="192"/>
      <c r="F243" s="175"/>
      <c r="G243" s="175"/>
      <c r="H243" s="175"/>
      <c r="I243" s="175"/>
      <c r="J243" s="198"/>
    </row>
    <row r="244" spans="1:10" ht="13.5" thickBot="1" x14ac:dyDescent="0.25">
      <c r="A244" s="14" t="s">
        <v>13</v>
      </c>
      <c r="B244" s="177">
        <v>2040</v>
      </c>
      <c r="C244" s="192" t="str">
        <f>'[2]Projetos e Atividades'!$B$49</f>
        <v>PROGRAMA LAZER UNINDO GERAÇÕES + PROJETOS ESPECIAIS</v>
      </c>
      <c r="D244" s="192"/>
      <c r="E244" s="192"/>
      <c r="F244" s="175">
        <f>'Anexo IV -Projetos e Ativid '!D52</f>
        <v>1600000</v>
      </c>
      <c r="G244" s="175">
        <f>'Anexo IV -Projetos e Ativid '!E52</f>
        <v>1800000</v>
      </c>
      <c r="H244" s="175">
        <f>'Anexo IV -Projetos e Ativid '!F52</f>
        <v>1900000</v>
      </c>
      <c r="I244" s="175">
        <f>'Anexo IV -Projetos e Ativid '!G52</f>
        <v>2000000</v>
      </c>
      <c r="J244" s="198">
        <f>SUM(F244:I244)</f>
        <v>7300000</v>
      </c>
    </row>
    <row r="245" spans="1:10" ht="13.5" thickBot="1" x14ac:dyDescent="0.25">
      <c r="A245" s="15"/>
      <c r="B245" s="209"/>
      <c r="C245" s="210"/>
      <c r="D245" s="210"/>
      <c r="E245" s="210"/>
      <c r="F245" s="211"/>
      <c r="G245" s="211"/>
      <c r="H245" s="211"/>
      <c r="I245" s="211"/>
      <c r="J245" s="214"/>
    </row>
    <row r="246" spans="1:10" ht="13.5" thickBot="1" x14ac:dyDescent="0.25">
      <c r="A246" s="135" t="s">
        <v>13</v>
      </c>
      <c r="B246" s="212">
        <v>3147</v>
      </c>
      <c r="C246" s="179" t="s">
        <v>343</v>
      </c>
      <c r="D246" s="180"/>
      <c r="E246" s="181"/>
      <c r="F246" s="185">
        <f>'Anexo IV -Projetos e Ativid '!D121</f>
        <v>1000000</v>
      </c>
      <c r="G246" s="187">
        <f>'Anexo IV -Projetos e Ativid '!E121</f>
        <v>1000000</v>
      </c>
      <c r="H246" s="185">
        <f>'Anexo IV -Projetos e Ativid '!F121</f>
        <v>1000000</v>
      </c>
      <c r="I246" s="187">
        <f>'Anexo IV -Projetos e Ativid '!G121</f>
        <v>1000000</v>
      </c>
      <c r="J246" s="189">
        <f>SUM(F246:I246)</f>
        <v>4000000</v>
      </c>
    </row>
    <row r="247" spans="1:10" ht="13.5" thickBot="1" x14ac:dyDescent="0.25">
      <c r="A247" s="134"/>
      <c r="B247" s="213"/>
      <c r="C247" s="182"/>
      <c r="D247" s="183"/>
      <c r="E247" s="184"/>
      <c r="F247" s="186"/>
      <c r="G247" s="188"/>
      <c r="H247" s="186"/>
      <c r="I247" s="188"/>
      <c r="J247" s="190"/>
    </row>
    <row r="248" spans="1:10" ht="13.5" thickBot="1" x14ac:dyDescent="0.25"/>
    <row r="249" spans="1:10" ht="13.5" customHeight="1" thickBot="1" x14ac:dyDescent="0.25">
      <c r="A249" s="200" t="s">
        <v>2</v>
      </c>
      <c r="B249" s="200"/>
      <c r="C249" s="201" t="s">
        <v>56</v>
      </c>
      <c r="D249" s="201"/>
      <c r="E249" s="201"/>
      <c r="F249" s="201"/>
      <c r="G249" s="201"/>
      <c r="H249" s="201"/>
      <c r="I249" s="201"/>
      <c r="J249" s="201"/>
    </row>
    <row r="250" spans="1:10" ht="12.75" customHeight="1" thickBot="1" x14ac:dyDescent="0.25">
      <c r="A250" s="200" t="s">
        <v>4</v>
      </c>
      <c r="B250" s="200"/>
      <c r="C250" s="201" t="s">
        <v>29</v>
      </c>
      <c r="D250" s="201"/>
      <c r="E250" s="201"/>
      <c r="F250" s="201"/>
      <c r="G250" s="201"/>
      <c r="H250" s="201"/>
      <c r="I250" s="201"/>
      <c r="J250" s="201"/>
    </row>
    <row r="251" spans="1:10" ht="13.5" thickBot="1" x14ac:dyDescent="0.25">
      <c r="A251" s="2"/>
      <c r="B251" s="2"/>
      <c r="C251" s="201"/>
      <c r="D251" s="201"/>
      <c r="E251" s="201"/>
      <c r="F251" s="201"/>
      <c r="G251" s="201"/>
      <c r="H251" s="201"/>
      <c r="I251" s="201"/>
      <c r="J251" s="201"/>
    </row>
    <row r="252" spans="1:10" x14ac:dyDescent="0.2">
      <c r="A252" s="2"/>
      <c r="B252" s="2"/>
      <c r="C252" s="201"/>
      <c r="D252" s="201"/>
      <c r="E252" s="201"/>
      <c r="F252" s="201"/>
      <c r="G252" s="201"/>
      <c r="H252" s="201"/>
      <c r="I252" s="201"/>
      <c r="J252" s="201"/>
    </row>
    <row r="253" spans="1:10" x14ac:dyDescent="0.2">
      <c r="A253" s="2"/>
      <c r="B253" s="2"/>
      <c r="C253" s="201"/>
      <c r="D253" s="201"/>
      <c r="E253" s="201"/>
      <c r="F253" s="201"/>
      <c r="G253" s="201"/>
      <c r="H253" s="201"/>
      <c r="I253" s="201"/>
      <c r="J253" s="201"/>
    </row>
    <row r="254" spans="1:10" x14ac:dyDescent="0.2">
      <c r="A254" s="2"/>
      <c r="B254" s="2"/>
      <c r="C254" s="201"/>
      <c r="D254" s="201"/>
      <c r="E254" s="201"/>
      <c r="F254" s="201"/>
      <c r="G254" s="201"/>
      <c r="H254" s="201"/>
      <c r="I254" s="201"/>
      <c r="J254" s="201"/>
    </row>
    <row r="255" spans="1:10" x14ac:dyDescent="0.2">
      <c r="A255" s="2"/>
      <c r="B255" s="2"/>
      <c r="C255" s="201"/>
      <c r="D255" s="201"/>
      <c r="E255" s="201"/>
      <c r="F255" s="201"/>
      <c r="G255" s="201"/>
      <c r="H255" s="201"/>
      <c r="I255" s="201"/>
      <c r="J255" s="201"/>
    </row>
    <row r="256" spans="1:10" x14ac:dyDescent="0.2">
      <c r="A256" s="2"/>
      <c r="B256" s="2"/>
      <c r="C256" s="201"/>
      <c r="D256" s="201"/>
      <c r="E256" s="201"/>
      <c r="F256" s="201"/>
      <c r="G256" s="201"/>
      <c r="H256" s="201"/>
      <c r="I256" s="201"/>
      <c r="J256" s="201"/>
    </row>
    <row r="257" spans="1:10" ht="12.75" customHeight="1" x14ac:dyDescent="0.2">
      <c r="A257" s="202" t="s">
        <v>6</v>
      </c>
      <c r="B257" s="202"/>
      <c r="C257" s="202"/>
      <c r="D257" s="202"/>
      <c r="E257" s="3"/>
      <c r="F257" s="4">
        <v>2026</v>
      </c>
      <c r="G257" s="4">
        <v>2027</v>
      </c>
      <c r="H257" s="34">
        <v>2028</v>
      </c>
      <c r="I257" s="4">
        <v>2029</v>
      </c>
      <c r="J257" s="5" t="s">
        <v>7</v>
      </c>
    </row>
    <row r="258" spans="1:10" ht="12.75" customHeight="1" x14ac:dyDescent="0.2">
      <c r="A258" s="203" t="s">
        <v>8</v>
      </c>
      <c r="B258" s="203"/>
      <c r="C258" s="203"/>
      <c r="D258" s="6"/>
      <c r="E258" s="7"/>
      <c r="F258" s="8">
        <f>F262+F264+F266</f>
        <v>8750000</v>
      </c>
      <c r="G258" s="8">
        <f>G262+G264+G266</f>
        <v>7800000</v>
      </c>
      <c r="H258" s="8">
        <f>H262+H264+H266</f>
        <v>7850000</v>
      </c>
      <c r="I258" s="8">
        <f>I262+I264+I266</f>
        <v>3900000</v>
      </c>
      <c r="J258" s="9">
        <f>SUM(F258:I258)</f>
        <v>28300000</v>
      </c>
    </row>
    <row r="259" spans="1:10" x14ac:dyDescent="0.2">
      <c r="A259" s="10"/>
      <c r="B259" s="11"/>
      <c r="C259" s="194"/>
      <c r="D259" s="194"/>
      <c r="E259" s="194"/>
      <c r="F259" s="12"/>
      <c r="G259" s="12"/>
      <c r="H259" s="35"/>
      <c r="I259" s="12"/>
      <c r="J259" s="13"/>
    </row>
    <row r="260" spans="1:10" ht="12.75" customHeight="1" x14ac:dyDescent="0.2">
      <c r="A260" s="195" t="s">
        <v>9</v>
      </c>
      <c r="B260" s="196" t="s">
        <v>10</v>
      </c>
      <c r="C260" s="196" t="s">
        <v>11</v>
      </c>
      <c r="D260" s="196"/>
      <c r="E260" s="196"/>
      <c r="F260" s="177">
        <f>F257</f>
        <v>2026</v>
      </c>
      <c r="G260" s="177">
        <f>G257</f>
        <v>2027</v>
      </c>
      <c r="H260" s="193">
        <f>H257</f>
        <v>2028</v>
      </c>
      <c r="I260" s="177">
        <f>I257</f>
        <v>2029</v>
      </c>
      <c r="J260" s="197" t="s">
        <v>12</v>
      </c>
    </row>
    <row r="261" spans="1:10" x14ac:dyDescent="0.2">
      <c r="A261" s="195"/>
      <c r="B261" s="196"/>
      <c r="C261" s="196"/>
      <c r="D261" s="196"/>
      <c r="E261" s="196"/>
      <c r="F261" s="177"/>
      <c r="G261" s="177"/>
      <c r="H261" s="193"/>
      <c r="I261" s="177"/>
      <c r="J261" s="197"/>
    </row>
    <row r="262" spans="1:10" ht="13.5" thickBot="1" x14ac:dyDescent="0.25">
      <c r="A262" s="14" t="s">
        <v>13</v>
      </c>
      <c r="B262" s="177">
        <v>2042</v>
      </c>
      <c r="C262" s="192" t="s">
        <v>233</v>
      </c>
      <c r="D262" s="192"/>
      <c r="E262" s="192"/>
      <c r="F262" s="175">
        <f>'Anexo IV -Projetos e Ativid '!D60</f>
        <v>6500000</v>
      </c>
      <c r="G262" s="175">
        <f>'Anexo IV -Projetos e Ativid '!E60</f>
        <v>5500000</v>
      </c>
      <c r="H262" s="175">
        <f>'Anexo IV -Projetos e Ativid '!F60</f>
        <v>5500000</v>
      </c>
      <c r="I262" s="175">
        <f>'Anexo IV -Projetos e Ativid '!G60</f>
        <v>1500000</v>
      </c>
      <c r="J262" s="198">
        <f>SUM(F262:I262)</f>
        <v>19000000</v>
      </c>
    </row>
    <row r="263" spans="1:10" ht="13.5" thickBot="1" x14ac:dyDescent="0.25">
      <c r="A263" s="15"/>
      <c r="B263" s="177"/>
      <c r="C263" s="192"/>
      <c r="D263" s="192"/>
      <c r="E263" s="192"/>
      <c r="F263" s="175"/>
      <c r="G263" s="175"/>
      <c r="H263" s="175"/>
      <c r="I263" s="175"/>
      <c r="J263" s="198"/>
    </row>
    <row r="264" spans="1:10" ht="13.5" thickBot="1" x14ac:dyDescent="0.25">
      <c r="A264" s="14" t="s">
        <v>13</v>
      </c>
      <c r="B264" s="177">
        <v>2045</v>
      </c>
      <c r="C264" s="192" t="s">
        <v>235</v>
      </c>
      <c r="D264" s="192"/>
      <c r="E264" s="192"/>
      <c r="F264" s="175">
        <f>'Anexo IV -Projetos e Ativid '!D62</f>
        <v>2250000</v>
      </c>
      <c r="G264" s="175">
        <f>'Anexo IV -Projetos e Ativid '!E62</f>
        <v>2300000</v>
      </c>
      <c r="H264" s="175">
        <f>'Anexo IV -Projetos e Ativid '!F62</f>
        <v>2350000</v>
      </c>
      <c r="I264" s="175">
        <f>'Anexo IV -Projetos e Ativid '!G62</f>
        <v>2400000</v>
      </c>
      <c r="J264" s="198">
        <f>SUM(F264:I264)</f>
        <v>9300000</v>
      </c>
    </row>
    <row r="265" spans="1:10" ht="13.5" thickBot="1" x14ac:dyDescent="0.25">
      <c r="A265" s="15"/>
      <c r="B265" s="177"/>
      <c r="C265" s="192"/>
      <c r="D265" s="192"/>
      <c r="E265" s="192"/>
      <c r="F265" s="175"/>
      <c r="G265" s="175"/>
      <c r="H265" s="175"/>
      <c r="I265" s="175"/>
      <c r="J265" s="198"/>
    </row>
    <row r="266" spans="1:10" ht="13.5" thickBot="1" x14ac:dyDescent="0.25"/>
    <row r="267" spans="1:10" ht="13.5" customHeight="1" thickBot="1" x14ac:dyDescent="0.25">
      <c r="A267" s="200" t="s">
        <v>2</v>
      </c>
      <c r="B267" s="200"/>
      <c r="C267" s="201" t="str">
        <f>'[1]Anexo II - Resumo dos Programas'!B18</f>
        <v>Melhoria das Vias Urbanas</v>
      </c>
      <c r="D267" s="201"/>
      <c r="E267" s="201"/>
      <c r="F267" s="201"/>
      <c r="G267" s="201"/>
      <c r="H267" s="201"/>
      <c r="I267" s="201"/>
      <c r="J267" s="201"/>
    </row>
    <row r="268" spans="1:10" ht="12.75" customHeight="1" x14ac:dyDescent="0.2">
      <c r="A268" s="200" t="s">
        <v>4</v>
      </c>
      <c r="B268" s="200"/>
      <c r="C268" s="201" t="s">
        <v>30</v>
      </c>
      <c r="D268" s="201"/>
      <c r="E268" s="201"/>
      <c r="F268" s="201"/>
      <c r="G268" s="201"/>
      <c r="H268" s="201"/>
      <c r="I268" s="201"/>
      <c r="J268" s="201"/>
    </row>
    <row r="269" spans="1:10" x14ac:dyDescent="0.2">
      <c r="A269" s="2"/>
      <c r="B269" s="2"/>
      <c r="C269" s="201"/>
      <c r="D269" s="201"/>
      <c r="E269" s="201"/>
      <c r="F269" s="201"/>
      <c r="G269" s="201"/>
      <c r="H269" s="201"/>
      <c r="I269" s="201"/>
      <c r="J269" s="201"/>
    </row>
    <row r="270" spans="1:10" x14ac:dyDescent="0.2">
      <c r="A270" s="2"/>
      <c r="B270" s="2"/>
      <c r="C270" s="201"/>
      <c r="D270" s="201"/>
      <c r="E270" s="201"/>
      <c r="F270" s="201"/>
      <c r="G270" s="201"/>
      <c r="H270" s="201"/>
      <c r="I270" s="201"/>
      <c r="J270" s="201"/>
    </row>
    <row r="271" spans="1:10" x14ac:dyDescent="0.2">
      <c r="A271" s="2"/>
      <c r="B271" s="2"/>
      <c r="C271" s="201"/>
      <c r="D271" s="201"/>
      <c r="E271" s="201"/>
      <c r="F271" s="201"/>
      <c r="G271" s="201"/>
      <c r="H271" s="201"/>
      <c r="I271" s="201"/>
      <c r="J271" s="201"/>
    </row>
    <row r="272" spans="1:10" x14ac:dyDescent="0.2">
      <c r="A272" s="2"/>
      <c r="B272" s="2"/>
      <c r="C272" s="201"/>
      <c r="D272" s="201"/>
      <c r="E272" s="201"/>
      <c r="F272" s="201"/>
      <c r="G272" s="201"/>
      <c r="H272" s="201"/>
      <c r="I272" s="201"/>
      <c r="J272" s="201"/>
    </row>
    <row r="273" spans="1:10" ht="12.75" customHeight="1" x14ac:dyDescent="0.2">
      <c r="A273" s="202" t="s">
        <v>6</v>
      </c>
      <c r="B273" s="202"/>
      <c r="C273" s="202"/>
      <c r="D273" s="202"/>
      <c r="E273" s="3"/>
      <c r="F273" s="4">
        <v>2026</v>
      </c>
      <c r="G273" s="4">
        <v>2027</v>
      </c>
      <c r="H273" s="34">
        <v>2028</v>
      </c>
      <c r="I273" s="4">
        <v>2029</v>
      </c>
      <c r="J273" s="5" t="s">
        <v>7</v>
      </c>
    </row>
    <row r="274" spans="1:10" ht="12.75" customHeight="1" x14ac:dyDescent="0.2">
      <c r="A274" s="203" t="s">
        <v>8</v>
      </c>
      <c r="B274" s="203"/>
      <c r="C274" s="203"/>
      <c r="D274" s="6"/>
      <c r="E274" s="7"/>
      <c r="F274" s="8">
        <f>F278+F280+F282+F284</f>
        <v>2900000</v>
      </c>
      <c r="G274" s="8">
        <f>G278+G280+G282+G284</f>
        <v>3150000</v>
      </c>
      <c r="H274" s="8">
        <f>H278+H280+H282+H284</f>
        <v>3400000</v>
      </c>
      <c r="I274" s="8">
        <f>I278+I280+I282+I284</f>
        <v>3650000</v>
      </c>
      <c r="J274" s="9">
        <f>SUM(F274:I274)</f>
        <v>13100000</v>
      </c>
    </row>
    <row r="275" spans="1:10" x14ac:dyDescent="0.2">
      <c r="A275" s="10"/>
      <c r="B275" s="11"/>
      <c r="C275" s="194"/>
      <c r="D275" s="194"/>
      <c r="E275" s="194"/>
      <c r="F275" s="12"/>
      <c r="G275" s="12"/>
      <c r="H275" s="35"/>
      <c r="I275" s="12"/>
      <c r="J275" s="13"/>
    </row>
    <row r="276" spans="1:10" ht="12.75" customHeight="1" x14ac:dyDescent="0.2">
      <c r="A276" s="195" t="s">
        <v>9</v>
      </c>
      <c r="B276" s="196" t="s">
        <v>10</v>
      </c>
      <c r="C276" s="196" t="s">
        <v>11</v>
      </c>
      <c r="D276" s="196"/>
      <c r="E276" s="196"/>
      <c r="F276" s="177">
        <f>F273</f>
        <v>2026</v>
      </c>
      <c r="G276" s="177">
        <f>G273</f>
        <v>2027</v>
      </c>
      <c r="H276" s="193">
        <f>H273</f>
        <v>2028</v>
      </c>
      <c r="I276" s="177">
        <f>I273</f>
        <v>2029</v>
      </c>
      <c r="J276" s="197" t="s">
        <v>12</v>
      </c>
    </row>
    <row r="277" spans="1:10" x14ac:dyDescent="0.2">
      <c r="A277" s="195"/>
      <c r="B277" s="196"/>
      <c r="C277" s="196"/>
      <c r="D277" s="196"/>
      <c r="E277" s="196"/>
      <c r="F277" s="177"/>
      <c r="G277" s="177"/>
      <c r="H277" s="193"/>
      <c r="I277" s="177"/>
      <c r="J277" s="197"/>
    </row>
    <row r="278" spans="1:10" x14ac:dyDescent="0.2">
      <c r="A278" s="14" t="s">
        <v>13</v>
      </c>
      <c r="B278" s="177">
        <v>2044</v>
      </c>
      <c r="C278" s="192" t="s">
        <v>234</v>
      </c>
      <c r="D278" s="192"/>
      <c r="E278" s="192"/>
      <c r="F278" s="175">
        <f>'Anexo IV -Projetos e Ativid '!D61</f>
        <v>1300000</v>
      </c>
      <c r="G278" s="175">
        <f>'Anexo IV -Projetos e Ativid '!E61</f>
        <v>1400000</v>
      </c>
      <c r="H278" s="175">
        <f>'Anexo IV -Projetos e Ativid '!F61</f>
        <v>1500000</v>
      </c>
      <c r="I278" s="175">
        <f>'Anexo IV -Projetos e Ativid '!G61</f>
        <v>1600000</v>
      </c>
      <c r="J278" s="198">
        <f>SUM(F278:I278)</f>
        <v>5800000</v>
      </c>
    </row>
    <row r="279" spans="1:10" x14ac:dyDescent="0.2">
      <c r="A279" s="15"/>
      <c r="B279" s="177"/>
      <c r="C279" s="192"/>
      <c r="D279" s="192"/>
      <c r="E279" s="192"/>
      <c r="F279" s="175"/>
      <c r="G279" s="175"/>
      <c r="H279" s="175"/>
      <c r="I279" s="175"/>
      <c r="J279" s="198"/>
    </row>
    <row r="280" spans="1:10" x14ac:dyDescent="0.2">
      <c r="A280" s="14" t="s">
        <v>13</v>
      </c>
      <c r="B280" s="177">
        <v>2046</v>
      </c>
      <c r="C280" s="192" t="str">
        <f>'Anexo IV -Projetos e Ativid '!C63</f>
        <v xml:space="preserve">CONSTRUÇÃO E REVITALIZAÇÃO DE PRAÇAS E LOGRADOUROS PÚBLICOS </v>
      </c>
      <c r="D280" s="192"/>
      <c r="E280" s="192"/>
      <c r="F280" s="175">
        <f>'Anexo IV -Projetos e Ativid '!D63</f>
        <v>500000</v>
      </c>
      <c r="G280" s="175">
        <f>'Anexo IV -Projetos e Ativid '!E63</f>
        <v>550000</v>
      </c>
      <c r="H280" s="175">
        <f>'Anexo IV -Projetos e Ativid '!F63</f>
        <v>600000</v>
      </c>
      <c r="I280" s="175">
        <f>'Anexo IV -Projetos e Ativid '!G63</f>
        <v>650000</v>
      </c>
      <c r="J280" s="198">
        <f>SUM(F280:I280)</f>
        <v>2300000</v>
      </c>
    </row>
    <row r="281" spans="1:10" x14ac:dyDescent="0.2">
      <c r="A281" s="15"/>
      <c r="B281" s="177"/>
      <c r="C281" s="192"/>
      <c r="D281" s="192"/>
      <c r="E281" s="192"/>
      <c r="F281" s="175"/>
      <c r="G281" s="175"/>
      <c r="H281" s="175"/>
      <c r="I281" s="175"/>
      <c r="J281" s="198"/>
    </row>
    <row r="282" spans="1:10" x14ac:dyDescent="0.2">
      <c r="A282" s="14" t="s">
        <v>13</v>
      </c>
      <c r="B282" s="177">
        <v>2047</v>
      </c>
      <c r="C282" s="192" t="str">
        <f>'Anexo IV -Projetos e Ativid '!C64</f>
        <v xml:space="preserve">MELHORIA NO SERVIÇO DE LIMPEZA PÚBLICA </v>
      </c>
      <c r="D282" s="192"/>
      <c r="E282" s="192"/>
      <c r="F282" s="175">
        <f>'Anexo IV -Projetos e Ativid '!D64</f>
        <v>900000</v>
      </c>
      <c r="G282" s="175">
        <f>'Anexo IV -Projetos e Ativid '!E64</f>
        <v>1000000</v>
      </c>
      <c r="H282" s="175">
        <f>'Anexo IV -Projetos e Ativid '!F64</f>
        <v>1100000</v>
      </c>
      <c r="I282" s="175">
        <f>'Anexo IV -Projetos e Ativid '!G64</f>
        <v>1200000</v>
      </c>
      <c r="J282" s="198">
        <f>SUM(F282:I282)</f>
        <v>4200000</v>
      </c>
    </row>
    <row r="283" spans="1:10" x14ac:dyDescent="0.2">
      <c r="A283" s="15"/>
      <c r="B283" s="177"/>
      <c r="C283" s="192"/>
      <c r="D283" s="192"/>
      <c r="E283" s="192"/>
      <c r="F283" s="175"/>
      <c r="G283" s="175"/>
      <c r="H283" s="175"/>
      <c r="I283" s="175"/>
      <c r="J283" s="198"/>
    </row>
    <row r="284" spans="1:10" x14ac:dyDescent="0.2">
      <c r="A284" s="14" t="s">
        <v>15</v>
      </c>
      <c r="B284" s="177">
        <v>3012</v>
      </c>
      <c r="C284" s="192" t="s">
        <v>237</v>
      </c>
      <c r="D284" s="192"/>
      <c r="E284" s="192"/>
      <c r="F284" s="175">
        <f>'Anexo IV -Projetos e Ativid '!D65</f>
        <v>200000</v>
      </c>
      <c r="G284" s="175">
        <f>'Anexo IV -Projetos e Ativid '!E65</f>
        <v>200000</v>
      </c>
      <c r="H284" s="175">
        <f>'Anexo IV -Projetos e Ativid '!F65</f>
        <v>200000</v>
      </c>
      <c r="I284" s="175">
        <f>'Anexo IV -Projetos e Ativid '!G65</f>
        <v>200000</v>
      </c>
      <c r="J284" s="198">
        <f>SUM(F284:I284)</f>
        <v>800000</v>
      </c>
    </row>
    <row r="285" spans="1:10" x14ac:dyDescent="0.2">
      <c r="A285" s="15"/>
      <c r="B285" s="177"/>
      <c r="C285" s="192"/>
      <c r="D285" s="192"/>
      <c r="E285" s="192"/>
      <c r="F285" s="175"/>
      <c r="G285" s="175"/>
      <c r="H285" s="175"/>
      <c r="I285" s="175"/>
      <c r="J285" s="198"/>
    </row>
    <row r="287" spans="1:10" ht="13.5" customHeight="1" thickBot="1" x14ac:dyDescent="0.25">
      <c r="A287" s="200" t="s">
        <v>2</v>
      </c>
      <c r="B287" s="200"/>
      <c r="C287" s="201" t="str">
        <f>'[1]Anexo II - Resumo dos Programas'!B19</f>
        <v>Gestão Ambiental</v>
      </c>
      <c r="D287" s="201"/>
      <c r="E287" s="201"/>
      <c r="F287" s="201"/>
      <c r="G287" s="201"/>
      <c r="H287" s="201"/>
      <c r="I287" s="201"/>
      <c r="J287" s="201"/>
    </row>
    <row r="288" spans="1:10" ht="12.75" customHeight="1" x14ac:dyDescent="0.2">
      <c r="A288" s="200" t="s">
        <v>4</v>
      </c>
      <c r="B288" s="200"/>
      <c r="C288" s="201" t="s">
        <v>31</v>
      </c>
      <c r="D288" s="201"/>
      <c r="E288" s="201"/>
      <c r="F288" s="201"/>
      <c r="G288" s="201"/>
      <c r="H288" s="201"/>
      <c r="I288" s="201"/>
      <c r="J288" s="201"/>
    </row>
    <row r="289" spans="1:10" x14ac:dyDescent="0.2">
      <c r="A289" s="2"/>
      <c r="B289" s="2"/>
      <c r="C289" s="201"/>
      <c r="D289" s="201"/>
      <c r="E289" s="201"/>
      <c r="F289" s="201"/>
      <c r="G289" s="201"/>
      <c r="H289" s="201"/>
      <c r="I289" s="201"/>
      <c r="J289" s="201"/>
    </row>
    <row r="290" spans="1:10" x14ac:dyDescent="0.2">
      <c r="A290" s="2"/>
      <c r="B290" s="2"/>
      <c r="C290" s="201"/>
      <c r="D290" s="201"/>
      <c r="E290" s="201"/>
      <c r="F290" s="201"/>
      <c r="G290" s="201"/>
      <c r="H290" s="201"/>
      <c r="I290" s="201"/>
      <c r="J290" s="201"/>
    </row>
    <row r="291" spans="1:10" x14ac:dyDescent="0.2">
      <c r="A291" s="2"/>
      <c r="B291" s="2"/>
      <c r="C291" s="201"/>
      <c r="D291" s="201"/>
      <c r="E291" s="201"/>
      <c r="F291" s="201"/>
      <c r="G291" s="201"/>
      <c r="H291" s="201"/>
      <c r="I291" s="201"/>
      <c r="J291" s="201"/>
    </row>
    <row r="292" spans="1:10" x14ac:dyDescent="0.2">
      <c r="A292" s="2"/>
      <c r="B292" s="2"/>
      <c r="C292" s="201"/>
      <c r="D292" s="201"/>
      <c r="E292" s="201"/>
      <c r="F292" s="201"/>
      <c r="G292" s="201"/>
      <c r="H292" s="201"/>
      <c r="I292" s="201"/>
      <c r="J292" s="201"/>
    </row>
    <row r="293" spans="1:10" x14ac:dyDescent="0.2">
      <c r="A293" s="2"/>
      <c r="B293" s="2"/>
      <c r="C293" s="201"/>
      <c r="D293" s="201"/>
      <c r="E293" s="201"/>
      <c r="F293" s="201"/>
      <c r="G293" s="201"/>
      <c r="H293" s="201"/>
      <c r="I293" s="201"/>
      <c r="J293" s="201"/>
    </row>
    <row r="294" spans="1:10" x14ac:dyDescent="0.2">
      <c r="A294" s="2"/>
      <c r="B294" s="2"/>
      <c r="C294" s="201"/>
      <c r="D294" s="201"/>
      <c r="E294" s="201"/>
      <c r="F294" s="201"/>
      <c r="G294" s="201"/>
      <c r="H294" s="201"/>
      <c r="I294" s="201"/>
      <c r="J294" s="201"/>
    </row>
    <row r="295" spans="1:10" ht="12.75" customHeight="1" x14ac:dyDescent="0.2">
      <c r="A295" s="202" t="s">
        <v>6</v>
      </c>
      <c r="B295" s="202"/>
      <c r="C295" s="202"/>
      <c r="D295" s="202"/>
      <c r="E295" s="3"/>
      <c r="F295" s="4">
        <v>2026</v>
      </c>
      <c r="G295" s="4">
        <v>2027</v>
      </c>
      <c r="H295" s="34">
        <v>2028</v>
      </c>
      <c r="I295" s="4">
        <v>2029</v>
      </c>
      <c r="J295" s="5" t="s">
        <v>7</v>
      </c>
    </row>
    <row r="296" spans="1:10" ht="12.75" customHeight="1" x14ac:dyDescent="0.2">
      <c r="A296" s="203" t="s">
        <v>8</v>
      </c>
      <c r="B296" s="203"/>
      <c r="C296" s="203"/>
      <c r="D296" s="6"/>
      <c r="E296" s="7"/>
      <c r="F296" s="8">
        <f>F300+F302+F304+F306+F308+F310+F312</f>
        <v>4514000</v>
      </c>
      <c r="G296" s="8">
        <f>G300+G302+G304+G306+G308+G310+G312</f>
        <v>4644000</v>
      </c>
      <c r="H296" s="106">
        <f>H300+H302+H304+H306+H308+H310+H312</f>
        <v>4854000</v>
      </c>
      <c r="I296" s="8">
        <f>I300+I302+I304+I306+I308+I310+I312</f>
        <v>5094000</v>
      </c>
      <c r="J296" s="9">
        <f>SUM(F296:I296)</f>
        <v>19106000</v>
      </c>
    </row>
    <row r="297" spans="1:10" x14ac:dyDescent="0.2">
      <c r="A297" s="10"/>
      <c r="B297" s="11"/>
      <c r="C297" s="194"/>
      <c r="D297" s="194"/>
      <c r="E297" s="194"/>
      <c r="F297" s="12"/>
      <c r="G297" s="12"/>
      <c r="H297" s="35"/>
      <c r="I297" s="12"/>
      <c r="J297" s="13"/>
    </row>
    <row r="298" spans="1:10" ht="12.75" customHeight="1" x14ac:dyDescent="0.2">
      <c r="A298" s="195" t="s">
        <v>9</v>
      </c>
      <c r="B298" s="196" t="s">
        <v>10</v>
      </c>
      <c r="C298" s="196" t="s">
        <v>11</v>
      </c>
      <c r="D298" s="196"/>
      <c r="E298" s="196"/>
      <c r="F298" s="177">
        <f>F295</f>
        <v>2026</v>
      </c>
      <c r="G298" s="177">
        <f>G295</f>
        <v>2027</v>
      </c>
      <c r="H298" s="193">
        <f>H295</f>
        <v>2028</v>
      </c>
      <c r="I298" s="177">
        <f>I295</f>
        <v>2029</v>
      </c>
      <c r="J298" s="197" t="s">
        <v>12</v>
      </c>
    </row>
    <row r="299" spans="1:10" x14ac:dyDescent="0.2">
      <c r="A299" s="195"/>
      <c r="B299" s="196"/>
      <c r="C299" s="196"/>
      <c r="D299" s="196"/>
      <c r="E299" s="196"/>
      <c r="F299" s="177"/>
      <c r="G299" s="177"/>
      <c r="H299" s="193"/>
      <c r="I299" s="177"/>
      <c r="J299" s="197"/>
    </row>
    <row r="300" spans="1:10" x14ac:dyDescent="0.2">
      <c r="A300" s="14" t="s">
        <v>13</v>
      </c>
      <c r="B300" s="177">
        <v>2048</v>
      </c>
      <c r="C300" s="192" t="str">
        <f>'Anexo IV -Projetos e Ativid '!C69</f>
        <v>MANUTENÇÃO DAS ATIVIDADES DA SECRETARIA DE MEIO AMBIENTE</v>
      </c>
      <c r="D300" s="192"/>
      <c r="E300" s="192"/>
      <c r="F300" s="175">
        <f>'Anexo IV -Projetos e Ativid '!D69</f>
        <v>1250000</v>
      </c>
      <c r="G300" s="175">
        <f>'Anexo IV -Projetos e Ativid '!E69</f>
        <v>1300000</v>
      </c>
      <c r="H300" s="175">
        <f>'Anexo IV -Projetos e Ativid '!F69</f>
        <v>1350000</v>
      </c>
      <c r="I300" s="175">
        <f>'Anexo IV -Projetos e Ativid '!G69</f>
        <v>1400000</v>
      </c>
      <c r="J300" s="198">
        <f>SUM(F300:I300)</f>
        <v>5300000</v>
      </c>
    </row>
    <row r="301" spans="1:10" x14ac:dyDescent="0.2">
      <c r="A301" s="15"/>
      <c r="B301" s="177"/>
      <c r="C301" s="192"/>
      <c r="D301" s="192"/>
      <c r="E301" s="192"/>
      <c r="F301" s="175"/>
      <c r="G301" s="175"/>
      <c r="H301" s="175"/>
      <c r="I301" s="175"/>
      <c r="J301" s="198"/>
    </row>
    <row r="302" spans="1:10" x14ac:dyDescent="0.2">
      <c r="A302" s="14" t="s">
        <v>13</v>
      </c>
      <c r="B302" s="177">
        <v>2050</v>
      </c>
      <c r="C302" s="192" t="str">
        <f>'Anexo IV -Projetos e Ativid '!C70</f>
        <v>PROGRAMA CONSCIÊNCIA ECOLÓGICA/EDUCAÇÃO AMBIENTAL</v>
      </c>
      <c r="D302" s="192"/>
      <c r="E302" s="192"/>
      <c r="F302" s="175">
        <f>'Anexo IV -Projetos e Ativid '!D70</f>
        <v>6000</v>
      </c>
      <c r="G302" s="175">
        <f>'Anexo IV -Projetos e Ativid '!E70</f>
        <v>6000</v>
      </c>
      <c r="H302" s="175">
        <f>'Anexo IV -Projetos e Ativid '!F70</f>
        <v>6000</v>
      </c>
      <c r="I302" s="175">
        <f>'Anexo IV -Projetos e Ativid '!G70</f>
        <v>6000</v>
      </c>
      <c r="J302" s="198">
        <f>SUM(F302:I302)</f>
        <v>24000</v>
      </c>
    </row>
    <row r="303" spans="1:10" x14ac:dyDescent="0.2">
      <c r="A303" s="15"/>
      <c r="B303" s="177"/>
      <c r="C303" s="192"/>
      <c r="D303" s="192"/>
      <c r="E303" s="192"/>
      <c r="F303" s="175"/>
      <c r="G303" s="175"/>
      <c r="H303" s="175"/>
      <c r="I303" s="175"/>
      <c r="J303" s="198"/>
    </row>
    <row r="304" spans="1:10" x14ac:dyDescent="0.2">
      <c r="A304" s="14" t="s">
        <v>13</v>
      </c>
      <c r="B304" s="177">
        <v>2051</v>
      </c>
      <c r="C304" s="192" t="s">
        <v>240</v>
      </c>
      <c r="D304" s="192"/>
      <c r="E304" s="192"/>
      <c r="F304" s="175">
        <f>'Anexo IV -Projetos e Ativid '!D71</f>
        <v>2950000</v>
      </c>
      <c r="G304" s="175">
        <f>'Anexo IV -Projetos e Ativid '!E71</f>
        <v>3100000</v>
      </c>
      <c r="H304" s="175">
        <f>'Anexo IV -Projetos e Ativid '!F71</f>
        <v>3250000</v>
      </c>
      <c r="I304" s="175">
        <f>'Anexo IV -Projetos e Ativid '!G71</f>
        <v>3400000</v>
      </c>
      <c r="J304" s="198">
        <f>SUM(F304:I304)</f>
        <v>12700000</v>
      </c>
    </row>
    <row r="305" spans="1:10" x14ac:dyDescent="0.2">
      <c r="A305" s="15"/>
      <c r="B305" s="177"/>
      <c r="C305" s="192"/>
      <c r="D305" s="192"/>
      <c r="E305" s="192"/>
      <c r="F305" s="175"/>
      <c r="G305" s="175"/>
      <c r="H305" s="175"/>
      <c r="I305" s="175"/>
      <c r="J305" s="198"/>
    </row>
    <row r="306" spans="1:10" x14ac:dyDescent="0.2">
      <c r="A306" s="14" t="s">
        <v>13</v>
      </c>
      <c r="B306" s="177">
        <v>2053</v>
      </c>
      <c r="C306" s="192" t="s">
        <v>299</v>
      </c>
      <c r="D306" s="192"/>
      <c r="E306" s="192"/>
      <c r="F306" s="175">
        <f>'Anexo IV -Projetos e Ativid '!D72</f>
        <v>50000</v>
      </c>
      <c r="G306" s="175">
        <f>'Anexo IV -Projetos e Ativid '!E72</f>
        <v>60000</v>
      </c>
      <c r="H306" s="175">
        <f>'Anexo IV -Projetos e Ativid '!F72</f>
        <v>70000</v>
      </c>
      <c r="I306" s="175">
        <f>'Anexo IV -Projetos e Ativid '!G72</f>
        <v>80000</v>
      </c>
      <c r="J306" s="198">
        <f>SUM(F306:I306)</f>
        <v>260000</v>
      </c>
    </row>
    <row r="307" spans="1:10" x14ac:dyDescent="0.2">
      <c r="A307" s="15"/>
      <c r="B307" s="177"/>
      <c r="C307" s="192"/>
      <c r="D307" s="192"/>
      <c r="E307" s="192"/>
      <c r="F307" s="175"/>
      <c r="G307" s="175"/>
      <c r="H307" s="175"/>
      <c r="I307" s="175"/>
      <c r="J307" s="198"/>
    </row>
    <row r="308" spans="1:10" x14ac:dyDescent="0.2">
      <c r="A308" s="14" t="s">
        <v>13</v>
      </c>
      <c r="B308" s="177">
        <v>2054</v>
      </c>
      <c r="C308" s="192" t="str">
        <f>'Anexo IV -Projetos e Ativid '!C73</f>
        <v>PROJETOS AMBIENTAIS</v>
      </c>
      <c r="D308" s="192"/>
      <c r="E308" s="192"/>
      <c r="F308" s="175">
        <f>'Anexo IV -Projetos e Ativid '!D73</f>
        <v>8000</v>
      </c>
      <c r="G308" s="175">
        <f>'Anexo IV -Projetos e Ativid '!E73</f>
        <v>8000</v>
      </c>
      <c r="H308" s="175">
        <f>'Anexo IV -Projetos e Ativid '!F73</f>
        <v>8000</v>
      </c>
      <c r="I308" s="175">
        <f>'Anexo IV -Projetos e Ativid '!G73</f>
        <v>8000</v>
      </c>
      <c r="J308" s="198">
        <f>SUM(F308:I308)</f>
        <v>32000</v>
      </c>
    </row>
    <row r="309" spans="1:10" x14ac:dyDescent="0.2">
      <c r="A309" s="15"/>
      <c r="B309" s="177"/>
      <c r="C309" s="192"/>
      <c r="D309" s="192"/>
      <c r="E309" s="192"/>
      <c r="F309" s="175"/>
      <c r="G309" s="175"/>
      <c r="H309" s="175"/>
      <c r="I309" s="175"/>
      <c r="J309" s="198"/>
    </row>
    <row r="310" spans="1:10" x14ac:dyDescent="0.2">
      <c r="A310" s="14" t="s">
        <v>13</v>
      </c>
      <c r="B310" s="177">
        <f>'Anexo IV -Projetos e Ativid '!B74</f>
        <v>2052</v>
      </c>
      <c r="C310" s="192" t="str">
        <f>'Anexo IV -Projetos e Ativid '!C74</f>
        <v>PROTEÇÃO E SAÚDE ANIMAL</v>
      </c>
      <c r="D310" s="192"/>
      <c r="E310" s="192"/>
      <c r="F310" s="175">
        <f>'Anexo IV -Projetos e Ativid '!D74</f>
        <v>200000</v>
      </c>
      <c r="G310" s="175">
        <f>'Anexo IV -Projetos e Ativid '!E74</f>
        <v>120000</v>
      </c>
      <c r="H310" s="175">
        <f>'Anexo IV -Projetos e Ativid '!F74</f>
        <v>120000</v>
      </c>
      <c r="I310" s="175">
        <f>'Anexo IV -Projetos e Ativid '!G74</f>
        <v>150000</v>
      </c>
      <c r="J310" s="198">
        <f>SUM(F310:I310)</f>
        <v>590000</v>
      </c>
    </row>
    <row r="311" spans="1:10" x14ac:dyDescent="0.2">
      <c r="A311" s="15"/>
      <c r="B311" s="177"/>
      <c r="C311" s="192"/>
      <c r="D311" s="192"/>
      <c r="E311" s="192"/>
      <c r="F311" s="175"/>
      <c r="G311" s="175"/>
      <c r="H311" s="175"/>
      <c r="I311" s="175"/>
      <c r="J311" s="198"/>
    </row>
    <row r="312" spans="1:10" x14ac:dyDescent="0.2">
      <c r="A312" s="14" t="s">
        <v>15</v>
      </c>
      <c r="B312" s="177">
        <f>'Anexo IV -Projetos e Ativid '!B75</f>
        <v>3028</v>
      </c>
      <c r="C312" s="192" t="str">
        <f>'Anexo IV -Projetos e Ativid '!C75</f>
        <v>AQUISIÇÃO ÁREA INTERESSE</v>
      </c>
      <c r="D312" s="192"/>
      <c r="E312" s="192"/>
      <c r="F312" s="175">
        <f>'Anexo IV -Projetos e Ativid '!D75</f>
        <v>50000</v>
      </c>
      <c r="G312" s="175">
        <f>'Anexo IV -Projetos e Ativid '!E75</f>
        <v>50000</v>
      </c>
      <c r="H312" s="175">
        <f>'Anexo IV -Projetos e Ativid '!F75</f>
        <v>50000</v>
      </c>
      <c r="I312" s="175">
        <f>'Anexo IV -Projetos e Ativid '!G75</f>
        <v>50000</v>
      </c>
      <c r="J312" s="198">
        <f>SUM(F312:I312)</f>
        <v>200000</v>
      </c>
    </row>
    <row r="313" spans="1:10" x14ac:dyDescent="0.2">
      <c r="A313" s="15"/>
      <c r="B313" s="177"/>
      <c r="C313" s="192"/>
      <c r="D313" s="192"/>
      <c r="E313" s="192"/>
      <c r="F313" s="175"/>
      <c r="G313" s="175"/>
      <c r="H313" s="175"/>
      <c r="I313" s="175"/>
      <c r="J313" s="198"/>
    </row>
    <row r="315" spans="1:10" ht="13.5" customHeight="1" x14ac:dyDescent="0.2">
      <c r="A315" s="200" t="s">
        <v>2</v>
      </c>
      <c r="B315" s="200"/>
      <c r="C315" s="201" t="str">
        <f>'[1]Anexo II - Resumo dos Programas'!B20</f>
        <v>Saúde com Qualidade</v>
      </c>
      <c r="D315" s="201"/>
      <c r="E315" s="201"/>
      <c r="F315" s="201"/>
      <c r="G315" s="201"/>
      <c r="H315" s="201"/>
      <c r="I315" s="201"/>
      <c r="J315" s="201"/>
    </row>
    <row r="316" spans="1:10" ht="12.75" customHeight="1" x14ac:dyDescent="0.2">
      <c r="A316" s="200" t="s">
        <v>4</v>
      </c>
      <c r="B316" s="200"/>
      <c r="C316" s="201" t="s">
        <v>32</v>
      </c>
      <c r="D316" s="201"/>
      <c r="E316" s="201"/>
      <c r="F316" s="201"/>
      <c r="G316" s="201"/>
      <c r="H316" s="201"/>
      <c r="I316" s="201"/>
      <c r="J316" s="201"/>
    </row>
    <row r="317" spans="1:10" x14ac:dyDescent="0.2">
      <c r="A317" s="2"/>
      <c r="B317" s="2"/>
      <c r="C317" s="201"/>
      <c r="D317" s="201"/>
      <c r="E317" s="201"/>
      <c r="F317" s="201"/>
      <c r="G317" s="201"/>
      <c r="H317" s="201"/>
      <c r="I317" s="201"/>
      <c r="J317" s="201"/>
    </row>
    <row r="318" spans="1:10" x14ac:dyDescent="0.2">
      <c r="A318" s="2"/>
      <c r="B318" s="2"/>
      <c r="C318" s="201"/>
      <c r="D318" s="201"/>
      <c r="E318" s="201"/>
      <c r="F318" s="201"/>
      <c r="G318" s="201"/>
      <c r="H318" s="201"/>
      <c r="I318" s="201"/>
      <c r="J318" s="201"/>
    </row>
    <row r="319" spans="1:10" x14ac:dyDescent="0.2">
      <c r="A319" s="2"/>
      <c r="B319" s="2"/>
      <c r="C319" s="201"/>
      <c r="D319" s="201"/>
      <c r="E319" s="201"/>
      <c r="F319" s="201"/>
      <c r="G319" s="201"/>
      <c r="H319" s="201"/>
      <c r="I319" s="201"/>
      <c r="J319" s="201"/>
    </row>
    <row r="320" spans="1:10" x14ac:dyDescent="0.2">
      <c r="A320" s="2"/>
      <c r="B320" s="2"/>
      <c r="C320" s="201"/>
      <c r="D320" s="201"/>
      <c r="E320" s="201"/>
      <c r="F320" s="201"/>
      <c r="G320" s="201"/>
      <c r="H320" s="201"/>
      <c r="I320" s="201"/>
      <c r="J320" s="201"/>
    </row>
    <row r="321" spans="1:10" ht="12.75" customHeight="1" x14ac:dyDescent="0.2">
      <c r="A321" s="202" t="s">
        <v>6</v>
      </c>
      <c r="B321" s="202"/>
      <c r="C321" s="202"/>
      <c r="D321" s="202"/>
      <c r="E321" s="3"/>
      <c r="F321" s="4">
        <v>2026</v>
      </c>
      <c r="G321" s="4">
        <v>2027</v>
      </c>
      <c r="H321" s="34">
        <v>2028</v>
      </c>
      <c r="I321" s="4">
        <v>2029</v>
      </c>
      <c r="J321" s="5" t="s">
        <v>7</v>
      </c>
    </row>
    <row r="322" spans="1:10" ht="12.75" customHeight="1" x14ac:dyDescent="0.2">
      <c r="A322" s="203" t="s">
        <v>8</v>
      </c>
      <c r="B322" s="203"/>
      <c r="C322" s="203"/>
      <c r="D322" s="6"/>
      <c r="E322" s="7"/>
      <c r="F322" s="8">
        <f>SUM(F326:F351)</f>
        <v>26713000</v>
      </c>
      <c r="G322" s="8">
        <f>SUM(G326:G351)</f>
        <v>28386000</v>
      </c>
      <c r="H322" s="8">
        <f>SUM(H326:H351)</f>
        <v>30059000</v>
      </c>
      <c r="I322" s="8">
        <f>SUM(I326:I351)</f>
        <v>31182000</v>
      </c>
      <c r="J322" s="9">
        <f>SUM(F322:I322)</f>
        <v>116340000</v>
      </c>
    </row>
    <row r="323" spans="1:10" x14ac:dyDescent="0.2">
      <c r="A323" s="10"/>
      <c r="B323" s="11"/>
      <c r="C323" s="194"/>
      <c r="D323" s="194"/>
      <c r="E323" s="194"/>
      <c r="F323" s="12"/>
      <c r="G323" s="12"/>
      <c r="H323" s="35"/>
      <c r="I323" s="12"/>
      <c r="J323" s="13"/>
    </row>
    <row r="324" spans="1:10" ht="12.75" customHeight="1" x14ac:dyDescent="0.2">
      <c r="A324" s="195" t="s">
        <v>9</v>
      </c>
      <c r="B324" s="196" t="s">
        <v>10</v>
      </c>
      <c r="C324" s="196" t="s">
        <v>11</v>
      </c>
      <c r="D324" s="196"/>
      <c r="E324" s="196"/>
      <c r="F324" s="177">
        <f>F321</f>
        <v>2026</v>
      </c>
      <c r="G324" s="177">
        <f>G321</f>
        <v>2027</v>
      </c>
      <c r="H324" s="193">
        <f>H321</f>
        <v>2028</v>
      </c>
      <c r="I324" s="177">
        <f>I321</f>
        <v>2029</v>
      </c>
      <c r="J324" s="197" t="s">
        <v>12</v>
      </c>
    </row>
    <row r="325" spans="1:10" x14ac:dyDescent="0.2">
      <c r="A325" s="195"/>
      <c r="B325" s="196"/>
      <c r="C325" s="196"/>
      <c r="D325" s="196"/>
      <c r="E325" s="196"/>
      <c r="F325" s="177"/>
      <c r="G325" s="177"/>
      <c r="H325" s="193"/>
      <c r="I325" s="177"/>
      <c r="J325" s="197"/>
    </row>
    <row r="326" spans="1:10" x14ac:dyDescent="0.2">
      <c r="A326" s="14" t="s">
        <v>13</v>
      </c>
      <c r="B326" s="177">
        <v>2061</v>
      </c>
      <c r="C326" s="192" t="s">
        <v>288</v>
      </c>
      <c r="D326" s="192"/>
      <c r="E326" s="192"/>
      <c r="F326" s="175">
        <f>'Anexo IV -Projetos e Ativid '!D87</f>
        <v>15300000</v>
      </c>
      <c r="G326" s="175">
        <f>'Anexo IV -Projetos e Ativid '!E87</f>
        <v>15400000</v>
      </c>
      <c r="H326" s="175">
        <f>'Anexo IV -Projetos e Ativid '!F87</f>
        <v>15500000</v>
      </c>
      <c r="I326" s="175">
        <f>'Anexo IV -Projetos e Ativid '!G87</f>
        <v>15650000</v>
      </c>
      <c r="J326" s="191">
        <f>SUM(F326:I326)</f>
        <v>61850000</v>
      </c>
    </row>
    <row r="327" spans="1:10" ht="13.5" thickBot="1" x14ac:dyDescent="0.25">
      <c r="A327" s="15"/>
      <c r="B327" s="177"/>
      <c r="C327" s="192"/>
      <c r="D327" s="192"/>
      <c r="E327" s="192"/>
      <c r="F327" s="175"/>
      <c r="G327" s="175"/>
      <c r="H327" s="175"/>
      <c r="I327" s="175"/>
      <c r="J327" s="191"/>
    </row>
    <row r="328" spans="1:10" ht="13.5" thickBot="1" x14ac:dyDescent="0.25">
      <c r="A328" s="14" t="s">
        <v>13</v>
      </c>
      <c r="B328" s="177">
        <v>2139</v>
      </c>
      <c r="C328" s="192" t="s">
        <v>298</v>
      </c>
      <c r="D328" s="192"/>
      <c r="E328" s="192"/>
      <c r="F328" s="175">
        <f>'Anexo IV -Projetos e Ativid '!D88</f>
        <v>5000</v>
      </c>
      <c r="G328" s="175">
        <f>'Anexo IV -Projetos e Ativid '!E88</f>
        <v>5000</v>
      </c>
      <c r="H328" s="175">
        <f>'Anexo IV -Projetos e Ativid '!F88</f>
        <v>5000</v>
      </c>
      <c r="I328" s="175">
        <f>'Anexo IV -Projetos e Ativid '!G88</f>
        <v>5000</v>
      </c>
      <c r="J328" s="191">
        <f>SUM(F328:I328)</f>
        <v>20000</v>
      </c>
    </row>
    <row r="329" spans="1:10" ht="13.5" thickBot="1" x14ac:dyDescent="0.25">
      <c r="A329" s="15"/>
      <c r="B329" s="177"/>
      <c r="C329" s="192"/>
      <c r="D329" s="192"/>
      <c r="E329" s="192"/>
      <c r="F329" s="175"/>
      <c r="G329" s="175"/>
      <c r="H329" s="175"/>
      <c r="I329" s="175"/>
      <c r="J329" s="191"/>
    </row>
    <row r="330" spans="1:10" ht="13.5" thickBot="1" x14ac:dyDescent="0.25">
      <c r="A330" s="14" t="s">
        <v>13</v>
      </c>
      <c r="B330" s="177">
        <v>2063</v>
      </c>
      <c r="C330" s="192" t="str">
        <f>'Anexo IV -Projetos e Ativid '!C89</f>
        <v xml:space="preserve">VIGILÂNCIA EM SAÚDE </v>
      </c>
      <c r="D330" s="192"/>
      <c r="E330" s="192"/>
      <c r="F330" s="175">
        <f>'Anexo IV -Projetos e Ativid '!D89</f>
        <v>150000</v>
      </c>
      <c r="G330" s="175">
        <f>'Anexo IV -Projetos e Ativid '!E89</f>
        <v>150000</v>
      </c>
      <c r="H330" s="175">
        <f>'Anexo IV -Projetos e Ativid '!F89</f>
        <v>150000</v>
      </c>
      <c r="I330" s="175">
        <f>'Anexo IV -Projetos e Ativid '!G89</f>
        <v>150000</v>
      </c>
      <c r="J330" s="207">
        <f>SUM(F330:I330)</f>
        <v>600000</v>
      </c>
    </row>
    <row r="331" spans="1:10" x14ac:dyDescent="0.2">
      <c r="A331" s="15"/>
      <c r="B331" s="177"/>
      <c r="C331" s="192"/>
      <c r="D331" s="192"/>
      <c r="E331" s="192"/>
      <c r="F331" s="175"/>
      <c r="G331" s="175"/>
      <c r="H331" s="175"/>
      <c r="I331" s="175"/>
      <c r="J331" s="207"/>
    </row>
    <row r="332" spans="1:10" x14ac:dyDescent="0.2">
      <c r="A332" s="14" t="s">
        <v>13</v>
      </c>
      <c r="B332" s="177">
        <v>2065</v>
      </c>
      <c r="C332" s="192" t="s">
        <v>289</v>
      </c>
      <c r="D332" s="192"/>
      <c r="E332" s="192"/>
      <c r="F332" s="175">
        <f>'Anexo IV -Projetos e Ativid '!D90</f>
        <v>3400000</v>
      </c>
      <c r="G332" s="175">
        <f>'Anexo IV -Projetos e Ativid '!E90</f>
        <v>3700000</v>
      </c>
      <c r="H332" s="175">
        <f>'Anexo IV -Projetos e Ativid '!F90</f>
        <v>4000000</v>
      </c>
      <c r="I332" s="175">
        <f>'Anexo IV -Projetos e Ativid '!G90</f>
        <v>4300000</v>
      </c>
      <c r="J332" s="207">
        <f>SUM(F332:I332)</f>
        <v>15400000</v>
      </c>
    </row>
    <row r="333" spans="1:10" x14ac:dyDescent="0.2">
      <c r="A333" s="15"/>
      <c r="B333" s="177"/>
      <c r="C333" s="192"/>
      <c r="D333" s="192"/>
      <c r="E333" s="192"/>
      <c r="F333" s="175"/>
      <c r="G333" s="175"/>
      <c r="H333" s="175"/>
      <c r="I333" s="175"/>
      <c r="J333" s="207"/>
    </row>
    <row r="334" spans="1:10" x14ac:dyDescent="0.2">
      <c r="A334" s="14" t="s">
        <v>13</v>
      </c>
      <c r="B334" s="177">
        <v>2066</v>
      </c>
      <c r="C334" s="192" t="s">
        <v>290</v>
      </c>
      <c r="D334" s="192"/>
      <c r="E334" s="192"/>
      <c r="F334" s="175">
        <f>'Anexo IV -Projetos e Ativid '!D91</f>
        <v>1000000</v>
      </c>
      <c r="G334" s="175">
        <f>'Anexo IV -Projetos e Ativid '!E91</f>
        <v>500000</v>
      </c>
      <c r="H334" s="175">
        <f>'Anexo IV -Projetos e Ativid '!F91</f>
        <v>600000</v>
      </c>
      <c r="I334" s="175">
        <f>'Anexo IV -Projetos e Ativid '!G91</f>
        <v>400000</v>
      </c>
      <c r="J334" s="207">
        <f>SUM(F334:I334)</f>
        <v>2500000</v>
      </c>
    </row>
    <row r="335" spans="1:10" x14ac:dyDescent="0.2">
      <c r="A335" s="15"/>
      <c r="B335" s="177"/>
      <c r="C335" s="192"/>
      <c r="D335" s="192"/>
      <c r="E335" s="192"/>
      <c r="F335" s="175"/>
      <c r="G335" s="175"/>
      <c r="H335" s="175"/>
      <c r="I335" s="175"/>
      <c r="J335" s="207"/>
    </row>
    <row r="336" spans="1:10" x14ac:dyDescent="0.2">
      <c r="A336" s="14" t="s">
        <v>13</v>
      </c>
      <c r="B336" s="177">
        <v>2067</v>
      </c>
      <c r="C336" s="192" t="s">
        <v>291</v>
      </c>
      <c r="D336" s="192"/>
      <c r="E336" s="192"/>
      <c r="F336" s="175">
        <f>'Anexo IV -Projetos e Ativid '!D92</f>
        <v>4950000</v>
      </c>
      <c r="G336" s="175">
        <f>'Anexo IV -Projetos e Ativid '!E92</f>
        <v>6500000</v>
      </c>
      <c r="H336" s="175">
        <f>'Anexo IV -Projetos e Ativid '!F92</f>
        <v>7500000</v>
      </c>
      <c r="I336" s="175">
        <f>'Anexo IV -Projetos e Ativid '!G92</f>
        <v>8200000</v>
      </c>
      <c r="J336" s="207">
        <f>SUM(F336:I336)</f>
        <v>27150000</v>
      </c>
    </row>
    <row r="337" spans="1:10" x14ac:dyDescent="0.2">
      <c r="A337" s="15"/>
      <c r="B337" s="177"/>
      <c r="C337" s="192"/>
      <c r="D337" s="192"/>
      <c r="E337" s="192"/>
      <c r="F337" s="175"/>
      <c r="G337" s="175"/>
      <c r="H337" s="175"/>
      <c r="I337" s="175"/>
      <c r="J337" s="207"/>
    </row>
    <row r="338" spans="1:10" x14ac:dyDescent="0.2">
      <c r="A338" s="14" t="s">
        <v>13</v>
      </c>
      <c r="B338" s="177">
        <v>2071</v>
      </c>
      <c r="C338" s="192" t="s">
        <v>292</v>
      </c>
      <c r="D338" s="192"/>
      <c r="E338" s="192"/>
      <c r="F338" s="175">
        <f>'Anexo IV -Projetos e Ativid '!D93</f>
        <v>1500000</v>
      </c>
      <c r="G338" s="175">
        <f>'Anexo IV -Projetos e Ativid '!E93</f>
        <v>1700000</v>
      </c>
      <c r="H338" s="175">
        <f>'Anexo IV -Projetos e Ativid '!F93</f>
        <v>1850000</v>
      </c>
      <c r="I338" s="175">
        <f>'Anexo IV -Projetos e Ativid '!G93</f>
        <v>2000000</v>
      </c>
      <c r="J338" s="207">
        <f>SUM(F338:I338)</f>
        <v>7050000</v>
      </c>
    </row>
    <row r="339" spans="1:10" ht="13.5" thickBot="1" x14ac:dyDescent="0.25">
      <c r="A339" s="15"/>
      <c r="B339" s="177"/>
      <c r="C339" s="192"/>
      <c r="D339" s="192"/>
      <c r="E339" s="192"/>
      <c r="F339" s="175"/>
      <c r="G339" s="175"/>
      <c r="H339" s="175"/>
      <c r="I339" s="175"/>
      <c r="J339" s="207"/>
    </row>
    <row r="340" spans="1:10" ht="13.5" thickBot="1" x14ac:dyDescent="0.25">
      <c r="A340" s="14" t="s">
        <v>13</v>
      </c>
      <c r="B340" s="177">
        <v>2141</v>
      </c>
      <c r="C340" s="192" t="s">
        <v>317</v>
      </c>
      <c r="D340" s="192"/>
      <c r="E340" s="192"/>
      <c r="F340" s="208">
        <f>'Anexo IV -Projetos e Ativid '!D94</f>
        <v>200000</v>
      </c>
      <c r="G340" s="208">
        <f>'Anexo IV -Projetos e Ativid '!E94</f>
        <v>210000</v>
      </c>
      <c r="H340" s="208">
        <f>'Anexo IV -Projetos e Ativid '!F94</f>
        <v>220000</v>
      </c>
      <c r="I340" s="208">
        <f>'Anexo IV -Projetos e Ativid '!G94</f>
        <v>230000</v>
      </c>
      <c r="J340" s="207">
        <f>SUM(F340:I340)</f>
        <v>860000</v>
      </c>
    </row>
    <row r="341" spans="1:10" ht="13.5" thickBot="1" x14ac:dyDescent="0.25">
      <c r="A341" s="15"/>
      <c r="B341" s="177"/>
      <c r="C341" s="192"/>
      <c r="D341" s="192"/>
      <c r="E341" s="192"/>
      <c r="F341" s="208"/>
      <c r="G341" s="208"/>
      <c r="H341" s="208"/>
      <c r="I341" s="208"/>
      <c r="J341" s="207"/>
    </row>
    <row r="342" spans="1:10" ht="13.5" thickBot="1" x14ac:dyDescent="0.25">
      <c r="A342" s="14" t="s">
        <v>13</v>
      </c>
      <c r="B342" s="177">
        <v>2142</v>
      </c>
      <c r="C342" s="192" t="s">
        <v>318</v>
      </c>
      <c r="D342" s="192"/>
      <c r="E342" s="192"/>
      <c r="F342" s="208">
        <f>'Anexo IV -Projetos e Ativid '!D96</f>
        <v>10000</v>
      </c>
      <c r="G342" s="208">
        <f>'Anexo IV -Projetos e Ativid '!E96</f>
        <v>11000</v>
      </c>
      <c r="H342" s="208">
        <f>'Anexo IV -Projetos e Ativid '!F96</f>
        <v>12000</v>
      </c>
      <c r="I342" s="208">
        <f>'Anexo IV -Projetos e Ativid '!G96</f>
        <v>13000</v>
      </c>
      <c r="J342" s="207">
        <f>SUM(F342:I342)</f>
        <v>46000</v>
      </c>
    </row>
    <row r="343" spans="1:10" ht="13.5" thickBot="1" x14ac:dyDescent="0.25">
      <c r="A343" s="15"/>
      <c r="B343" s="177"/>
      <c r="C343" s="192"/>
      <c r="D343" s="192"/>
      <c r="E343" s="192"/>
      <c r="F343" s="208"/>
      <c r="G343" s="208"/>
      <c r="H343" s="208"/>
      <c r="I343" s="208"/>
      <c r="J343" s="207"/>
    </row>
    <row r="344" spans="1:10" ht="13.5" thickBot="1" x14ac:dyDescent="0.25">
      <c r="A344" s="14" t="s">
        <v>15</v>
      </c>
      <c r="B344" s="209">
        <v>3043</v>
      </c>
      <c r="C344" s="192" t="s">
        <v>319</v>
      </c>
      <c r="D344" s="192"/>
      <c r="E344" s="192"/>
      <c r="F344" s="208">
        <f>'Anexo IV -Projetos e Ativid '!D96</f>
        <v>10000</v>
      </c>
      <c r="G344" s="208">
        <f>'Anexo IV -Projetos e Ativid '!E96</f>
        <v>11000</v>
      </c>
      <c r="H344" s="208">
        <f>'Anexo IV -Projetos e Ativid '!F96</f>
        <v>12000</v>
      </c>
      <c r="I344" s="208">
        <f>'Anexo IV -Projetos e Ativid '!G96</f>
        <v>13000</v>
      </c>
      <c r="J344" s="207">
        <f>SUM(F344:I344)</f>
        <v>46000</v>
      </c>
    </row>
    <row r="345" spans="1:10" ht="13.5" thickBot="1" x14ac:dyDescent="0.25">
      <c r="A345" s="15"/>
      <c r="B345" s="241"/>
      <c r="C345" s="192"/>
      <c r="D345" s="192"/>
      <c r="E345" s="192"/>
      <c r="F345" s="208"/>
      <c r="G345" s="208"/>
      <c r="H345" s="208"/>
      <c r="I345" s="208"/>
      <c r="J345" s="207"/>
    </row>
    <row r="346" spans="1:10" ht="13.5" thickBot="1" x14ac:dyDescent="0.25">
      <c r="A346" s="14" t="s">
        <v>13</v>
      </c>
      <c r="B346" s="177">
        <v>2165</v>
      </c>
      <c r="C346" s="192" t="s">
        <v>320</v>
      </c>
      <c r="D346" s="192"/>
      <c r="E346" s="192"/>
      <c r="F346" s="208">
        <f>'Anexo IV -Projetos e Ativid '!D97</f>
        <v>30000</v>
      </c>
      <c r="G346" s="208">
        <f>'Anexo IV -Projetos e Ativid '!E97</f>
        <v>35000</v>
      </c>
      <c r="H346" s="208">
        <f>'Anexo IV -Projetos e Ativid '!F97</f>
        <v>40000</v>
      </c>
      <c r="I346" s="208">
        <f>'Anexo IV -Projetos e Ativid '!G97</f>
        <v>45000</v>
      </c>
      <c r="J346" s="207">
        <f>SUM(F346:I346)</f>
        <v>150000</v>
      </c>
    </row>
    <row r="347" spans="1:10" ht="13.5" thickBot="1" x14ac:dyDescent="0.25">
      <c r="A347" s="15"/>
      <c r="B347" s="177"/>
      <c r="C347" s="192"/>
      <c r="D347" s="192"/>
      <c r="E347" s="192"/>
      <c r="F347" s="208"/>
      <c r="G347" s="208"/>
      <c r="H347" s="208"/>
      <c r="I347" s="208"/>
      <c r="J347" s="207"/>
    </row>
    <row r="348" spans="1:10" ht="13.5" thickBot="1" x14ac:dyDescent="0.25">
      <c r="A348" s="14" t="s">
        <v>13</v>
      </c>
      <c r="B348" s="177">
        <v>2166</v>
      </c>
      <c r="C348" s="192" t="s">
        <v>330</v>
      </c>
      <c r="D348" s="192"/>
      <c r="E348" s="192"/>
      <c r="F348" s="208">
        <f>'Anexo IV -Projetos e Ativid '!D98</f>
        <v>150000</v>
      </c>
      <c r="G348" s="208">
        <f>'Anexo IV -Projetos e Ativid '!E98</f>
        <v>155000</v>
      </c>
      <c r="H348" s="208">
        <f>'Anexo IV -Projetos e Ativid '!F98</f>
        <v>160000</v>
      </c>
      <c r="I348" s="208">
        <f>'Anexo IV -Projetos e Ativid '!G98</f>
        <v>165000</v>
      </c>
      <c r="J348" s="207">
        <f>SUM(F348:I348)</f>
        <v>630000</v>
      </c>
    </row>
    <row r="349" spans="1:10" ht="13.5" thickBot="1" x14ac:dyDescent="0.25">
      <c r="A349" s="15"/>
      <c r="B349" s="177"/>
      <c r="C349" s="192"/>
      <c r="D349" s="192"/>
      <c r="E349" s="192"/>
      <c r="F349" s="208"/>
      <c r="G349" s="208"/>
      <c r="H349" s="208"/>
      <c r="I349" s="208"/>
      <c r="J349" s="207"/>
    </row>
    <row r="350" spans="1:10" ht="13.5" customHeight="1" thickBot="1" x14ac:dyDescent="0.25">
      <c r="A350" s="14" t="s">
        <v>15</v>
      </c>
      <c r="B350" s="177">
        <v>3044</v>
      </c>
      <c r="C350" s="192" t="s">
        <v>312</v>
      </c>
      <c r="D350" s="192"/>
      <c r="E350" s="192"/>
      <c r="F350" s="208">
        <f>'Anexo IV -Projetos e Ativid '!D99</f>
        <v>8000</v>
      </c>
      <c r="G350" s="208">
        <f>'Anexo IV -Projetos e Ativid '!E99</f>
        <v>9000</v>
      </c>
      <c r="H350" s="208">
        <f>'Anexo IV -Projetos e Ativid '!F99</f>
        <v>10000</v>
      </c>
      <c r="I350" s="208">
        <f>'Anexo IV -Projetos e Ativid '!G99</f>
        <v>11000</v>
      </c>
      <c r="J350" s="246">
        <f>SUM(F350:I350)</f>
        <v>38000</v>
      </c>
    </row>
    <row r="351" spans="1:10" ht="13.5" customHeight="1" thickBot="1" x14ac:dyDescent="0.25">
      <c r="A351" s="15"/>
      <c r="B351" s="177"/>
      <c r="C351" s="192"/>
      <c r="D351" s="192"/>
      <c r="E351" s="192"/>
      <c r="F351" s="208"/>
      <c r="G351" s="208"/>
      <c r="H351" s="208"/>
      <c r="I351" s="208"/>
      <c r="J351" s="247"/>
    </row>
    <row r="352" spans="1:10" ht="13.5" customHeight="1" thickBot="1" x14ac:dyDescent="0.25">
      <c r="A352" s="18"/>
      <c r="B352" s="16"/>
      <c r="C352" s="17"/>
      <c r="D352" s="17"/>
      <c r="E352" s="17"/>
      <c r="F352" s="18"/>
      <c r="G352" s="18"/>
      <c r="H352" s="36"/>
      <c r="I352" s="18"/>
      <c r="J352" s="107"/>
    </row>
    <row r="353" spans="1:10" ht="15" customHeight="1" thickBot="1" x14ac:dyDescent="0.25">
      <c r="A353" s="200" t="s">
        <v>2</v>
      </c>
      <c r="B353" s="242"/>
      <c r="C353" s="243" t="s">
        <v>33</v>
      </c>
      <c r="D353" s="244"/>
      <c r="E353" s="244"/>
      <c r="F353" s="244"/>
      <c r="G353" s="244"/>
      <c r="H353" s="244"/>
      <c r="I353" s="244"/>
      <c r="J353" s="245"/>
    </row>
    <row r="354" spans="1:10" ht="15" customHeight="1" thickBot="1" x14ac:dyDescent="0.25">
      <c r="A354" s="200" t="s">
        <v>4</v>
      </c>
      <c r="B354" s="200"/>
      <c r="C354" s="201" t="s">
        <v>34</v>
      </c>
      <c r="D354" s="201"/>
      <c r="E354" s="201"/>
      <c r="F354" s="201"/>
      <c r="G354" s="201"/>
      <c r="H354" s="201"/>
      <c r="I354" s="201"/>
      <c r="J354" s="201"/>
    </row>
    <row r="355" spans="1:10" ht="15" customHeight="1" thickBot="1" x14ac:dyDescent="0.25">
      <c r="A355" s="2"/>
      <c r="B355" s="2"/>
      <c r="C355" s="201"/>
      <c r="D355" s="201"/>
      <c r="E355" s="201"/>
      <c r="F355" s="201"/>
      <c r="G355" s="201"/>
      <c r="H355" s="201"/>
      <c r="I355" s="201"/>
      <c r="J355" s="201"/>
    </row>
    <row r="356" spans="1:10" ht="15" customHeight="1" thickBot="1" x14ac:dyDescent="0.25">
      <c r="A356" s="2"/>
      <c r="B356" s="2"/>
      <c r="C356" s="201"/>
      <c r="D356" s="201"/>
      <c r="E356" s="201"/>
      <c r="F356" s="201"/>
      <c r="G356" s="201"/>
      <c r="H356" s="201"/>
      <c r="I356" s="201"/>
      <c r="J356" s="201"/>
    </row>
    <row r="357" spans="1:10" ht="12.75" customHeight="1" thickBot="1" x14ac:dyDescent="0.25">
      <c r="A357" s="2"/>
      <c r="B357" s="2"/>
      <c r="C357" s="201"/>
      <c r="D357" s="201"/>
      <c r="E357" s="201"/>
      <c r="F357" s="201"/>
      <c r="G357" s="201"/>
      <c r="H357" s="201"/>
      <c r="I357" s="201"/>
      <c r="J357" s="201"/>
    </row>
    <row r="358" spans="1:10" ht="12.75" customHeight="1" thickBot="1" x14ac:dyDescent="0.25">
      <c r="A358" s="2"/>
      <c r="B358" s="2"/>
      <c r="C358" s="201"/>
      <c r="D358" s="201"/>
      <c r="E358" s="201"/>
      <c r="F358" s="201"/>
      <c r="G358" s="201"/>
      <c r="H358" s="201"/>
      <c r="I358" s="201"/>
      <c r="J358" s="201"/>
    </row>
    <row r="359" spans="1:10" x14ac:dyDescent="0.2">
      <c r="A359" s="202" t="s">
        <v>6</v>
      </c>
      <c r="B359" s="202"/>
      <c r="C359" s="202"/>
      <c r="D359" s="202"/>
      <c r="E359" s="3"/>
      <c r="F359" s="4">
        <v>2026</v>
      </c>
      <c r="G359" s="4">
        <v>2027</v>
      </c>
      <c r="H359" s="34">
        <v>2028</v>
      </c>
      <c r="I359" s="4">
        <v>2029</v>
      </c>
      <c r="J359" s="5" t="s">
        <v>7</v>
      </c>
    </row>
    <row r="360" spans="1:10" ht="12.75" customHeight="1" x14ac:dyDescent="0.2">
      <c r="A360" s="203" t="s">
        <v>8</v>
      </c>
      <c r="B360" s="203"/>
      <c r="C360" s="203"/>
      <c r="D360" s="6"/>
      <c r="E360" s="7"/>
      <c r="F360" s="8">
        <f>F364</f>
        <v>5000</v>
      </c>
      <c r="G360" s="8">
        <f>G364</f>
        <v>5000</v>
      </c>
      <c r="H360" s="106">
        <f>H364</f>
        <v>5000</v>
      </c>
      <c r="I360" s="8">
        <f>I364</f>
        <v>5000</v>
      </c>
      <c r="J360" s="9">
        <f>SUM(F360:I360)</f>
        <v>20000</v>
      </c>
    </row>
    <row r="361" spans="1:10" x14ac:dyDescent="0.2">
      <c r="A361" s="10"/>
      <c r="B361" s="11"/>
      <c r="C361" s="194"/>
      <c r="D361" s="194"/>
      <c r="E361" s="194"/>
      <c r="F361" s="12"/>
      <c r="G361" s="12"/>
      <c r="H361" s="35"/>
      <c r="I361" s="12"/>
      <c r="J361" s="13"/>
    </row>
    <row r="362" spans="1:10" x14ac:dyDescent="0.2">
      <c r="A362" s="195" t="s">
        <v>9</v>
      </c>
      <c r="B362" s="196" t="s">
        <v>10</v>
      </c>
      <c r="C362" s="196" t="s">
        <v>11</v>
      </c>
      <c r="D362" s="196"/>
      <c r="E362" s="196"/>
      <c r="F362" s="177">
        <f>F359</f>
        <v>2026</v>
      </c>
      <c r="G362" s="177">
        <f>G359</f>
        <v>2027</v>
      </c>
      <c r="H362" s="193">
        <f>H359</f>
        <v>2028</v>
      </c>
      <c r="I362" s="177">
        <f>I359</f>
        <v>2029</v>
      </c>
      <c r="J362" s="197" t="s">
        <v>12</v>
      </c>
    </row>
    <row r="363" spans="1:10" x14ac:dyDescent="0.2">
      <c r="A363" s="195"/>
      <c r="B363" s="196"/>
      <c r="C363" s="196"/>
      <c r="D363" s="196"/>
      <c r="E363" s="196"/>
      <c r="F363" s="177"/>
      <c r="G363" s="177"/>
      <c r="H363" s="193"/>
      <c r="I363" s="177"/>
      <c r="J363" s="197"/>
    </row>
    <row r="364" spans="1:10" ht="13.5" thickBot="1" x14ac:dyDescent="0.25">
      <c r="A364" s="14" t="s">
        <v>13</v>
      </c>
      <c r="B364" s="177">
        <f>'Anexo IV -Projetos e Ativid '!B108</f>
        <v>2083</v>
      </c>
      <c r="C364" s="192" t="str">
        <f>'Anexo IV -Projetos e Ativid '!C108</f>
        <v>POLÍTICAS DE HABITAÇÃO E REGULARIZAÇÃO FUNDIÁRIA</v>
      </c>
      <c r="D364" s="192"/>
      <c r="E364" s="192"/>
      <c r="F364" s="175">
        <f>'Anexo IV -Projetos e Ativid '!D108</f>
        <v>5000</v>
      </c>
      <c r="G364" s="175">
        <f>'Anexo IV -Projetos e Ativid '!E108</f>
        <v>5000</v>
      </c>
      <c r="H364" s="175">
        <f>'Anexo IV -Projetos e Ativid '!F108</f>
        <v>5000</v>
      </c>
      <c r="I364" s="175">
        <f>'Anexo IV -Projetos e Ativid '!G108</f>
        <v>5000</v>
      </c>
      <c r="J364" s="175">
        <f>SUM(F364:I364)</f>
        <v>20000</v>
      </c>
    </row>
    <row r="365" spans="1:10" ht="13.5" customHeight="1" thickBot="1" x14ac:dyDescent="0.25">
      <c r="A365" s="15"/>
      <c r="B365" s="177"/>
      <c r="C365" s="192"/>
      <c r="D365" s="192"/>
      <c r="E365" s="192"/>
      <c r="F365" s="175"/>
      <c r="G365" s="175"/>
      <c r="H365" s="175"/>
      <c r="I365" s="175"/>
      <c r="J365" s="175"/>
    </row>
    <row r="366" spans="1:10" ht="12.75" customHeight="1" thickBot="1" x14ac:dyDescent="0.25"/>
    <row r="367" spans="1:10" ht="13.5" thickBot="1" x14ac:dyDescent="0.25">
      <c r="A367" s="200" t="s">
        <v>2</v>
      </c>
      <c r="B367" s="200"/>
      <c r="C367" s="201" t="str">
        <f>'[1]Anexo II - Resumo dos Programas'!B21</f>
        <v>Proteção Social Básica</v>
      </c>
      <c r="D367" s="201"/>
      <c r="E367" s="201"/>
      <c r="F367" s="201"/>
      <c r="G367" s="201"/>
      <c r="H367" s="201"/>
      <c r="I367" s="201"/>
      <c r="J367" s="201"/>
    </row>
    <row r="368" spans="1:10" ht="13.5" thickBot="1" x14ac:dyDescent="0.25">
      <c r="A368" s="200" t="s">
        <v>4</v>
      </c>
      <c r="B368" s="200"/>
      <c r="C368" s="201" t="s">
        <v>316</v>
      </c>
      <c r="D368" s="201"/>
      <c r="E368" s="201"/>
      <c r="F368" s="201"/>
      <c r="G368" s="201"/>
      <c r="H368" s="201"/>
      <c r="I368" s="201"/>
      <c r="J368" s="201"/>
    </row>
    <row r="369" spans="1:12" ht="13.5" thickBot="1" x14ac:dyDescent="0.25">
      <c r="A369" s="2"/>
      <c r="B369" s="2"/>
      <c r="C369" s="201"/>
      <c r="D369" s="201"/>
      <c r="E369" s="201"/>
      <c r="F369" s="201"/>
      <c r="G369" s="201"/>
      <c r="H369" s="201"/>
      <c r="I369" s="201"/>
      <c r="J369" s="201"/>
    </row>
    <row r="370" spans="1:12" ht="13.5" thickBot="1" x14ac:dyDescent="0.25">
      <c r="A370" s="2"/>
      <c r="B370" s="2"/>
      <c r="C370" s="201"/>
      <c r="D370" s="201"/>
      <c r="E370" s="201"/>
      <c r="F370" s="201"/>
      <c r="G370" s="201"/>
      <c r="H370" s="201"/>
      <c r="I370" s="201"/>
      <c r="J370" s="201"/>
    </row>
    <row r="371" spans="1:12" ht="13.5" thickBot="1" x14ac:dyDescent="0.25">
      <c r="A371" s="2"/>
      <c r="B371" s="2"/>
      <c r="C371" s="201"/>
      <c r="D371" s="201"/>
      <c r="E371" s="201"/>
      <c r="F371" s="201"/>
      <c r="G371" s="201"/>
      <c r="H371" s="201"/>
      <c r="I371" s="201"/>
      <c r="J371" s="201"/>
    </row>
    <row r="372" spans="1:12" ht="13.5" thickBot="1" x14ac:dyDescent="0.25">
      <c r="A372" s="2"/>
      <c r="B372" s="2"/>
      <c r="C372" s="201"/>
      <c r="D372" s="201"/>
      <c r="E372" s="201"/>
      <c r="F372" s="201"/>
      <c r="G372" s="201"/>
      <c r="H372" s="201"/>
      <c r="I372" s="201"/>
      <c r="J372" s="201"/>
    </row>
    <row r="373" spans="1:12" ht="13.5" thickBot="1" x14ac:dyDescent="0.25">
      <c r="A373" s="2"/>
      <c r="B373" s="2"/>
      <c r="C373" s="201"/>
      <c r="D373" s="201"/>
      <c r="E373" s="201"/>
      <c r="F373" s="201"/>
      <c r="G373" s="201"/>
      <c r="H373" s="201"/>
      <c r="I373" s="201"/>
      <c r="J373" s="201"/>
    </row>
    <row r="374" spans="1:12" ht="12.75" customHeight="1" thickBot="1" x14ac:dyDescent="0.25">
      <c r="A374" s="2"/>
      <c r="B374" s="2"/>
      <c r="C374" s="201"/>
      <c r="D374" s="201"/>
      <c r="E374" s="201"/>
      <c r="F374" s="201"/>
      <c r="G374" s="201"/>
      <c r="H374" s="201"/>
      <c r="I374" s="201"/>
      <c r="J374" s="201"/>
    </row>
    <row r="375" spans="1:12" ht="12.75" customHeight="1" thickBot="1" x14ac:dyDescent="0.25">
      <c r="A375" s="2"/>
      <c r="B375" s="2"/>
      <c r="C375" s="201"/>
      <c r="D375" s="201"/>
      <c r="E375" s="201"/>
      <c r="F375" s="201"/>
      <c r="G375" s="201"/>
      <c r="H375" s="201"/>
      <c r="I375" s="201"/>
      <c r="J375" s="201"/>
    </row>
    <row r="376" spans="1:12" x14ac:dyDescent="0.2">
      <c r="A376" s="202" t="s">
        <v>6</v>
      </c>
      <c r="B376" s="202"/>
      <c r="C376" s="202"/>
      <c r="D376" s="202"/>
      <c r="E376" s="3"/>
      <c r="F376" s="4">
        <v>2026</v>
      </c>
      <c r="G376" s="4">
        <v>2027</v>
      </c>
      <c r="H376" s="34">
        <v>2028</v>
      </c>
      <c r="I376" s="4">
        <v>2029</v>
      </c>
      <c r="J376" s="5" t="s">
        <v>7</v>
      </c>
    </row>
    <row r="377" spans="1:12" ht="12.75" customHeight="1" x14ac:dyDescent="0.2">
      <c r="A377" s="203" t="s">
        <v>8</v>
      </c>
      <c r="B377" s="203"/>
      <c r="C377" s="203"/>
      <c r="D377" s="6"/>
      <c r="E377" s="7"/>
      <c r="F377" s="8">
        <f>SUM(F381:F396)</f>
        <v>1929000</v>
      </c>
      <c r="G377" s="8">
        <f>SUM(G381:G396)</f>
        <v>1861000</v>
      </c>
      <c r="H377" s="8">
        <f>SUM(H381:H396)</f>
        <v>1797000</v>
      </c>
      <c r="I377" s="8">
        <f>SUM(I381:I396)</f>
        <v>1789000</v>
      </c>
      <c r="J377" s="9">
        <f>SUM(F377:I377)</f>
        <v>7376000</v>
      </c>
      <c r="L377" s="19"/>
    </row>
    <row r="378" spans="1:12" x14ac:dyDescent="0.2">
      <c r="A378" s="10"/>
      <c r="B378" s="11"/>
      <c r="C378" s="194"/>
      <c r="D378" s="194"/>
      <c r="E378" s="194"/>
      <c r="F378" s="12"/>
      <c r="G378" s="12"/>
      <c r="H378" s="35"/>
      <c r="I378" s="12"/>
      <c r="J378" s="13"/>
    </row>
    <row r="379" spans="1:12" x14ac:dyDescent="0.2">
      <c r="A379" s="195" t="s">
        <v>9</v>
      </c>
      <c r="B379" s="196" t="s">
        <v>10</v>
      </c>
      <c r="C379" s="196" t="s">
        <v>11</v>
      </c>
      <c r="D379" s="196"/>
      <c r="E379" s="196"/>
      <c r="F379" s="177">
        <f>F376</f>
        <v>2026</v>
      </c>
      <c r="G379" s="177">
        <f>G376</f>
        <v>2027</v>
      </c>
      <c r="H379" s="193">
        <f>H376</f>
        <v>2028</v>
      </c>
      <c r="I379" s="177">
        <f>I376</f>
        <v>2029</v>
      </c>
      <c r="J379" s="197" t="s">
        <v>12</v>
      </c>
    </row>
    <row r="380" spans="1:12" x14ac:dyDescent="0.2">
      <c r="A380" s="195"/>
      <c r="B380" s="196"/>
      <c r="C380" s="196"/>
      <c r="D380" s="196"/>
      <c r="E380" s="196"/>
      <c r="F380" s="177"/>
      <c r="G380" s="177"/>
      <c r="H380" s="193"/>
      <c r="I380" s="177"/>
      <c r="J380" s="197"/>
    </row>
    <row r="381" spans="1:12" ht="13.5" thickBot="1" x14ac:dyDescent="0.25">
      <c r="A381" s="14" t="s">
        <v>13</v>
      </c>
      <c r="B381" s="177">
        <v>2073</v>
      </c>
      <c r="C381" s="192" t="s">
        <v>282</v>
      </c>
      <c r="D381" s="192"/>
      <c r="E381" s="192"/>
      <c r="F381" s="175">
        <f>'Anexo IV -Projetos e Ativid '!D111</f>
        <v>110000</v>
      </c>
      <c r="G381" s="175">
        <f>'Anexo IV -Projetos e Ativid '!E111</f>
        <v>110000</v>
      </c>
      <c r="H381" s="175">
        <f>'Anexo IV -Projetos e Ativid '!F111</f>
        <v>110000</v>
      </c>
      <c r="I381" s="175">
        <f>'Anexo IV -Projetos e Ativid '!G111</f>
        <v>110000</v>
      </c>
      <c r="J381" s="207">
        <f>SUM(F381:I381)</f>
        <v>440000</v>
      </c>
    </row>
    <row r="382" spans="1:12" ht="13.5" thickBot="1" x14ac:dyDescent="0.25">
      <c r="A382" s="15"/>
      <c r="B382" s="177"/>
      <c r="C382" s="192"/>
      <c r="D382" s="192"/>
      <c r="E382" s="192"/>
      <c r="F382" s="175"/>
      <c r="G382" s="175"/>
      <c r="H382" s="175"/>
      <c r="I382" s="175"/>
      <c r="J382" s="207"/>
    </row>
    <row r="383" spans="1:12" ht="13.5" thickBot="1" x14ac:dyDescent="0.25">
      <c r="A383" s="14" t="s">
        <v>13</v>
      </c>
      <c r="B383" s="177">
        <v>2077</v>
      </c>
      <c r="C383" s="192" t="s">
        <v>283</v>
      </c>
      <c r="D383" s="192"/>
      <c r="E383" s="192"/>
      <c r="F383" s="175">
        <f>'Anexo IV -Projetos e Ativid '!D104</f>
        <v>34000</v>
      </c>
      <c r="G383" s="175">
        <f>'Anexo IV -Projetos e Ativid '!E104</f>
        <v>30000</v>
      </c>
      <c r="H383" s="175">
        <f>'Anexo IV -Projetos e Ativid '!F104</f>
        <v>30000</v>
      </c>
      <c r="I383" s="175">
        <f>'Anexo IV -Projetos e Ativid '!G104</f>
        <v>89000</v>
      </c>
      <c r="J383" s="207">
        <f>SUM(F383:I383)</f>
        <v>183000</v>
      </c>
    </row>
    <row r="384" spans="1:12" ht="13.5" thickBot="1" x14ac:dyDescent="0.25">
      <c r="A384" s="15"/>
      <c r="B384" s="177"/>
      <c r="C384" s="192"/>
      <c r="D384" s="192"/>
      <c r="E384" s="192"/>
      <c r="F384" s="175"/>
      <c r="G384" s="175"/>
      <c r="H384" s="175"/>
      <c r="I384" s="175"/>
      <c r="J384" s="207"/>
    </row>
    <row r="385" spans="1:11" ht="13.5" thickBot="1" x14ac:dyDescent="0.25">
      <c r="A385" s="14" t="s">
        <v>13</v>
      </c>
      <c r="B385" s="177">
        <v>2078</v>
      </c>
      <c r="C385" s="192" t="s">
        <v>255</v>
      </c>
      <c r="D385" s="192"/>
      <c r="E385" s="192"/>
      <c r="F385" s="175">
        <f>'Anexo IV -Projetos e Ativid '!D112</f>
        <v>431000</v>
      </c>
      <c r="G385" s="175">
        <f>'Anexo IV -Projetos e Ativid '!E112</f>
        <v>440000</v>
      </c>
      <c r="H385" s="175">
        <f>'Anexo IV -Projetos e Ativid '!F112</f>
        <v>450000</v>
      </c>
      <c r="I385" s="175">
        <f>'Anexo IV -Projetos e Ativid '!G112</f>
        <v>460000</v>
      </c>
      <c r="J385" s="207">
        <f>SUM(F385:I385)</f>
        <v>1781000</v>
      </c>
    </row>
    <row r="386" spans="1:11" ht="13.5" thickBot="1" x14ac:dyDescent="0.25">
      <c r="A386" s="15"/>
      <c r="B386" s="177"/>
      <c r="C386" s="192"/>
      <c r="D386" s="192"/>
      <c r="E386" s="192"/>
      <c r="F386" s="175"/>
      <c r="G386" s="175"/>
      <c r="H386" s="175"/>
      <c r="I386" s="175"/>
      <c r="J386" s="207"/>
    </row>
    <row r="387" spans="1:11" x14ac:dyDescent="0.2">
      <c r="A387" s="14" t="s">
        <v>13</v>
      </c>
      <c r="B387" s="209">
        <v>2080</v>
      </c>
      <c r="C387" s="235" t="s">
        <v>256</v>
      </c>
      <c r="D387" s="236"/>
      <c r="E387" s="237"/>
      <c r="F387" s="248">
        <f>'Anexo IV -Projetos e Ativid '!D106</f>
        <v>100000</v>
      </c>
      <c r="G387" s="248">
        <f>'Anexo IV -Projetos e Ativid '!E106</f>
        <v>100000</v>
      </c>
      <c r="H387" s="248">
        <f>'Anexo IV -Projetos e Ativid '!F106</f>
        <v>132000</v>
      </c>
      <c r="I387" s="248">
        <f>'Anexo IV -Projetos e Ativid '!G106</f>
        <v>100000</v>
      </c>
      <c r="J387" s="246">
        <f>SUM(F387:I388)</f>
        <v>432000</v>
      </c>
    </row>
    <row r="388" spans="1:11" ht="13.5" thickBot="1" x14ac:dyDescent="0.25">
      <c r="A388" s="15"/>
      <c r="B388" s="241"/>
      <c r="C388" s="238"/>
      <c r="D388" s="239"/>
      <c r="E388" s="240"/>
      <c r="F388" s="249"/>
      <c r="G388" s="249"/>
      <c r="H388" s="249"/>
      <c r="I388" s="249"/>
      <c r="J388" s="247"/>
    </row>
    <row r="389" spans="1:11" ht="12.75" customHeight="1" x14ac:dyDescent="0.2">
      <c r="A389" s="14" t="s">
        <v>15</v>
      </c>
      <c r="B389" s="209">
        <v>3013</v>
      </c>
      <c r="C389" s="235" t="s">
        <v>340</v>
      </c>
      <c r="D389" s="236"/>
      <c r="E389" s="237"/>
      <c r="F389" s="248">
        <f>'Anexo IV -Projetos e Ativid '!D110</f>
        <v>94000</v>
      </c>
      <c r="G389" s="248">
        <f>'Anexo IV -Projetos e Ativid '!E110</f>
        <v>50000</v>
      </c>
      <c r="H389" s="248">
        <f>'Anexo IV -Projetos e Ativid '!F110</f>
        <v>20000</v>
      </c>
      <c r="I389" s="248">
        <f>'Anexo IV -Projetos e Ativid '!G110</f>
        <v>20000</v>
      </c>
      <c r="J389" s="246">
        <f>SUM(F389:I390)</f>
        <v>184000</v>
      </c>
    </row>
    <row r="390" spans="1:11" ht="13.5" thickBot="1" x14ac:dyDescent="0.25">
      <c r="A390" s="15"/>
      <c r="B390" s="241"/>
      <c r="C390" s="238"/>
      <c r="D390" s="239"/>
      <c r="E390" s="240"/>
      <c r="F390" s="249"/>
      <c r="G390" s="249"/>
      <c r="H390" s="249"/>
      <c r="I390" s="249"/>
      <c r="J390" s="247"/>
    </row>
    <row r="391" spans="1:11" ht="13.5" thickBot="1" x14ac:dyDescent="0.25">
      <c r="A391" s="14" t="s">
        <v>13</v>
      </c>
      <c r="B391" s="177">
        <v>2079</v>
      </c>
      <c r="C391" s="192" t="s">
        <v>339</v>
      </c>
      <c r="D391" s="192"/>
      <c r="E391" s="192"/>
      <c r="F391" s="175">
        <f>'Anexo IV -Projetos e Ativid '!D105</f>
        <v>1070000</v>
      </c>
      <c r="G391" s="175">
        <f>'Anexo IV -Projetos e Ativid '!E105</f>
        <v>1040000</v>
      </c>
      <c r="H391" s="175">
        <f>'Anexo IV -Projetos e Ativid '!F105</f>
        <v>1010000</v>
      </c>
      <c r="I391" s="175">
        <f>'Anexo IV -Projetos e Ativid '!G105</f>
        <v>980000</v>
      </c>
      <c r="J391" s="207">
        <f>SUM(F391:I391)</f>
        <v>4100000</v>
      </c>
    </row>
    <row r="392" spans="1:11" ht="13.5" thickBot="1" x14ac:dyDescent="0.25">
      <c r="A392" s="15"/>
      <c r="B392" s="177"/>
      <c r="C392" s="192"/>
      <c r="D392" s="192"/>
      <c r="E392" s="192"/>
      <c r="F392" s="175"/>
      <c r="G392" s="175"/>
      <c r="H392" s="175"/>
      <c r="I392" s="175"/>
      <c r="J392" s="207"/>
    </row>
    <row r="393" spans="1:11" ht="13.5" thickBot="1" x14ac:dyDescent="0.25">
      <c r="A393" s="14" t="s">
        <v>13</v>
      </c>
      <c r="B393" s="177">
        <v>2081</v>
      </c>
      <c r="C393" s="192" t="s">
        <v>284</v>
      </c>
      <c r="D393" s="192"/>
      <c r="E393" s="192"/>
      <c r="F393" s="175">
        <f>'Anexo IV -Projetos e Ativid '!D107</f>
        <v>15000</v>
      </c>
      <c r="G393" s="175">
        <f>'Anexo IV -Projetos e Ativid '!E107</f>
        <v>15000</v>
      </c>
      <c r="H393" s="175">
        <f>'Anexo IV -Projetos e Ativid '!F107</f>
        <v>15000</v>
      </c>
      <c r="I393" s="175">
        <f>'Anexo IV -Projetos e Ativid '!G107</f>
        <v>15000</v>
      </c>
      <c r="J393" s="207">
        <f>SUM(F393:I393)</f>
        <v>60000</v>
      </c>
    </row>
    <row r="394" spans="1:11" ht="13.5" thickBot="1" x14ac:dyDescent="0.25">
      <c r="A394" s="15"/>
      <c r="B394" s="177"/>
      <c r="C394" s="192"/>
      <c r="D394" s="192"/>
      <c r="E394" s="192"/>
      <c r="F394" s="175"/>
      <c r="G394" s="175"/>
      <c r="H394" s="175"/>
      <c r="I394" s="175"/>
      <c r="J394" s="207"/>
      <c r="K394" s="19"/>
    </row>
    <row r="395" spans="1:11" ht="13.5" thickBot="1" x14ac:dyDescent="0.25">
      <c r="A395" s="14" t="s">
        <v>13</v>
      </c>
      <c r="B395" s="177">
        <f>'Anexo IV -Projetos e Ativid '!B109</f>
        <v>2102</v>
      </c>
      <c r="C395" s="192" t="str">
        <f>'Anexo IV -Projetos e Ativid '!C109</f>
        <v>CENTRO DO IDOSO</v>
      </c>
      <c r="D395" s="192"/>
      <c r="E395" s="192"/>
      <c r="F395" s="175">
        <f>'Anexo IV -Projetos e Ativid '!D109</f>
        <v>75000</v>
      </c>
      <c r="G395" s="175">
        <f>'Anexo IV -Projetos e Ativid '!E109</f>
        <v>76000</v>
      </c>
      <c r="H395" s="175">
        <f>'Anexo IV -Projetos e Ativid '!F109</f>
        <v>30000</v>
      </c>
      <c r="I395" s="175">
        <f>'Anexo IV -Projetos e Ativid '!G109</f>
        <v>15000</v>
      </c>
      <c r="J395" s="207">
        <f>SUM(F395:I395)</f>
        <v>196000</v>
      </c>
    </row>
    <row r="396" spans="1:11" ht="13.5" customHeight="1" thickBot="1" x14ac:dyDescent="0.25">
      <c r="A396" s="15"/>
      <c r="B396" s="177"/>
      <c r="C396" s="192"/>
      <c r="D396" s="192"/>
      <c r="E396" s="192"/>
      <c r="F396" s="175"/>
      <c r="G396" s="175"/>
      <c r="H396" s="175"/>
      <c r="I396" s="175"/>
      <c r="J396" s="207"/>
    </row>
    <row r="397" spans="1:11" ht="12.75" customHeight="1" thickBot="1" x14ac:dyDescent="0.25"/>
    <row r="398" spans="1:11" ht="13.5" thickBot="1" x14ac:dyDescent="0.25">
      <c r="A398" s="200" t="s">
        <v>2</v>
      </c>
      <c r="B398" s="200"/>
      <c r="C398" s="201" t="str">
        <f>'[1]Anexo II - Resumo dos Programas'!B22</f>
        <v>Gestão dos Serviços de Água</v>
      </c>
      <c r="D398" s="201"/>
      <c r="E398" s="201"/>
      <c r="F398" s="201"/>
      <c r="G398" s="201"/>
      <c r="H398" s="201"/>
      <c r="I398" s="201"/>
      <c r="J398" s="201"/>
    </row>
    <row r="399" spans="1:11" ht="13.5" thickBot="1" x14ac:dyDescent="0.25">
      <c r="A399" s="200" t="s">
        <v>4</v>
      </c>
      <c r="B399" s="200"/>
      <c r="C399" s="201" t="s">
        <v>35</v>
      </c>
      <c r="D399" s="201"/>
      <c r="E399" s="201"/>
      <c r="F399" s="201"/>
      <c r="G399" s="201"/>
      <c r="H399" s="201"/>
      <c r="I399" s="201"/>
      <c r="J399" s="201"/>
    </row>
    <row r="400" spans="1:11" ht="13.5" thickBot="1" x14ac:dyDescent="0.25">
      <c r="A400" s="2"/>
      <c r="B400" s="2"/>
      <c r="C400" s="201"/>
      <c r="D400" s="201"/>
      <c r="E400" s="201"/>
      <c r="F400" s="201"/>
      <c r="G400" s="201"/>
      <c r="H400" s="201"/>
      <c r="I400" s="201"/>
      <c r="J400" s="201"/>
    </row>
    <row r="401" spans="1:10" ht="13.5" thickBot="1" x14ac:dyDescent="0.25">
      <c r="A401" s="2"/>
      <c r="B401" s="2"/>
      <c r="C401" s="201"/>
      <c r="D401" s="201"/>
      <c r="E401" s="201"/>
      <c r="F401" s="201"/>
      <c r="G401" s="201"/>
      <c r="H401" s="201"/>
      <c r="I401" s="201"/>
      <c r="J401" s="201"/>
    </row>
    <row r="402" spans="1:10" ht="12.75" customHeight="1" thickBot="1" x14ac:dyDescent="0.25">
      <c r="A402" s="2"/>
      <c r="B402" s="2"/>
      <c r="C402" s="201"/>
      <c r="D402" s="201"/>
      <c r="E402" s="201"/>
      <c r="F402" s="201"/>
      <c r="G402" s="201"/>
      <c r="H402" s="201"/>
      <c r="I402" s="201"/>
      <c r="J402" s="201"/>
    </row>
    <row r="403" spans="1:10" ht="12.75" customHeight="1" thickBot="1" x14ac:dyDescent="0.25">
      <c r="A403" s="2"/>
      <c r="B403" s="2"/>
      <c r="C403" s="201"/>
      <c r="D403" s="201"/>
      <c r="E403" s="201"/>
      <c r="F403" s="201"/>
      <c r="G403" s="201"/>
      <c r="H403" s="201"/>
      <c r="I403" s="201"/>
      <c r="J403" s="201"/>
    </row>
    <row r="404" spans="1:10" x14ac:dyDescent="0.2">
      <c r="A404" s="205" t="s">
        <v>6</v>
      </c>
      <c r="B404" s="205"/>
      <c r="C404" s="205"/>
      <c r="D404" s="205"/>
      <c r="E404" s="101"/>
      <c r="F404" s="4">
        <v>2026</v>
      </c>
      <c r="G404" s="4">
        <v>2027</v>
      </c>
      <c r="H404" s="4">
        <v>2028</v>
      </c>
      <c r="I404" s="4">
        <v>2029</v>
      </c>
      <c r="J404" s="103" t="s">
        <v>7</v>
      </c>
    </row>
    <row r="405" spans="1:10" ht="12.75" customHeight="1" x14ac:dyDescent="0.2">
      <c r="A405" s="203" t="s">
        <v>8</v>
      </c>
      <c r="B405" s="203"/>
      <c r="C405" s="203"/>
      <c r="D405" s="6"/>
      <c r="E405" s="7"/>
      <c r="F405" s="102">
        <f>F409</f>
        <v>4900000</v>
      </c>
      <c r="G405" s="102">
        <f>G409</f>
        <v>5530000</v>
      </c>
      <c r="H405" s="102">
        <f>H409</f>
        <v>5590000</v>
      </c>
      <c r="I405" s="102">
        <f>I409</f>
        <v>5790000</v>
      </c>
      <c r="J405" s="104">
        <f>SUM(F405:I405)</f>
        <v>21810000</v>
      </c>
    </row>
    <row r="406" spans="1:10" x14ac:dyDescent="0.2">
      <c r="A406" s="10"/>
      <c r="B406" s="11"/>
      <c r="C406" s="194"/>
      <c r="D406" s="194"/>
      <c r="E406" s="194"/>
      <c r="F406" s="12"/>
      <c r="G406" s="12"/>
      <c r="H406" s="12"/>
      <c r="I406" s="12"/>
      <c r="J406" s="13"/>
    </row>
    <row r="407" spans="1:10" x14ac:dyDescent="0.2">
      <c r="A407" s="195" t="s">
        <v>9</v>
      </c>
      <c r="B407" s="206" t="s">
        <v>10</v>
      </c>
      <c r="C407" s="206" t="s">
        <v>11</v>
      </c>
      <c r="D407" s="206"/>
      <c r="E407" s="206"/>
      <c r="F407" s="177">
        <f>F404</f>
        <v>2026</v>
      </c>
      <c r="G407" s="177">
        <f>G404</f>
        <v>2027</v>
      </c>
      <c r="H407" s="177">
        <f>H404</f>
        <v>2028</v>
      </c>
      <c r="I407" s="177">
        <f>I404</f>
        <v>2029</v>
      </c>
      <c r="J407" s="204" t="s">
        <v>12</v>
      </c>
    </row>
    <row r="408" spans="1:10" x14ac:dyDescent="0.2">
      <c r="A408" s="195"/>
      <c r="B408" s="206"/>
      <c r="C408" s="206"/>
      <c r="D408" s="206"/>
      <c r="E408" s="206"/>
      <c r="F408" s="177"/>
      <c r="G408" s="177"/>
      <c r="H408" s="177"/>
      <c r="I408" s="177"/>
      <c r="J408" s="204"/>
    </row>
    <row r="409" spans="1:10" ht="13.5" thickBot="1" x14ac:dyDescent="0.25">
      <c r="A409" s="14" t="s">
        <v>13</v>
      </c>
      <c r="B409" s="177">
        <v>2084</v>
      </c>
      <c r="C409" s="192" t="str">
        <f>'Anexo IV -Projetos e Ativid '!C136</f>
        <v>MANUTENÇÃO DAS ATIVIDIDADES DE APOIO AUTARQUIA</v>
      </c>
      <c r="D409" s="192"/>
      <c r="E409" s="192"/>
      <c r="F409" s="175">
        <f>'Anexo IV -Projetos e Ativid '!D136</f>
        <v>4900000</v>
      </c>
      <c r="G409" s="175">
        <f>'Anexo IV -Projetos e Ativid '!E136</f>
        <v>5530000</v>
      </c>
      <c r="H409" s="175">
        <f>'Anexo IV -Projetos e Ativid '!F136</f>
        <v>5590000</v>
      </c>
      <c r="I409" s="175">
        <f>'Anexo IV -Projetos e Ativid '!G136</f>
        <v>5790000</v>
      </c>
      <c r="J409" s="191">
        <f>SUM(F409:I409)</f>
        <v>21810000</v>
      </c>
    </row>
    <row r="410" spans="1:10" ht="13.5" customHeight="1" thickBot="1" x14ac:dyDescent="0.25">
      <c r="A410" s="105"/>
      <c r="B410" s="177"/>
      <c r="C410" s="192"/>
      <c r="D410" s="192"/>
      <c r="E410" s="192"/>
      <c r="F410" s="175"/>
      <c r="G410" s="175"/>
      <c r="H410" s="175"/>
      <c r="I410" s="175"/>
      <c r="J410" s="191"/>
    </row>
    <row r="411" spans="1:10" ht="12.75" customHeight="1" thickBot="1" x14ac:dyDescent="0.25">
      <c r="H411" s="1"/>
    </row>
    <row r="412" spans="1:10" ht="13.5" thickBot="1" x14ac:dyDescent="0.25">
      <c r="A412" s="200" t="s">
        <v>2</v>
      </c>
      <c r="B412" s="200"/>
      <c r="C412" s="201" t="str">
        <f>'[1]Anexo II - Resumo dos Programas'!B23</f>
        <v>Manutenção dos Serviços de Água</v>
      </c>
      <c r="D412" s="201"/>
      <c r="E412" s="201"/>
      <c r="F412" s="201"/>
      <c r="G412" s="201"/>
      <c r="H412" s="201"/>
      <c r="I412" s="201"/>
      <c r="J412" s="201"/>
    </row>
    <row r="413" spans="1:10" ht="13.5" thickBot="1" x14ac:dyDescent="0.25">
      <c r="A413" s="200" t="s">
        <v>4</v>
      </c>
      <c r="B413" s="200"/>
      <c r="C413" s="201" t="s">
        <v>36</v>
      </c>
      <c r="D413" s="201"/>
      <c r="E413" s="201"/>
      <c r="F413" s="201"/>
      <c r="G413" s="201"/>
      <c r="H413" s="201"/>
      <c r="I413" s="201"/>
      <c r="J413" s="201"/>
    </row>
    <row r="414" spans="1:10" ht="13.5" thickBot="1" x14ac:dyDescent="0.25">
      <c r="A414" s="2"/>
      <c r="B414" s="2"/>
      <c r="C414" s="201"/>
      <c r="D414" s="201"/>
      <c r="E414" s="201"/>
      <c r="F414" s="201"/>
      <c r="G414" s="201"/>
      <c r="H414" s="201"/>
      <c r="I414" s="201"/>
      <c r="J414" s="201"/>
    </row>
    <row r="415" spans="1:10" ht="13.5" thickBot="1" x14ac:dyDescent="0.25">
      <c r="A415" s="2"/>
      <c r="B415" s="2"/>
      <c r="C415" s="201"/>
      <c r="D415" s="201"/>
      <c r="E415" s="201"/>
      <c r="F415" s="201"/>
      <c r="G415" s="201"/>
      <c r="H415" s="201"/>
      <c r="I415" s="201"/>
      <c r="J415" s="201"/>
    </row>
    <row r="416" spans="1:10" ht="12.75" customHeight="1" thickBot="1" x14ac:dyDescent="0.25">
      <c r="A416" s="2"/>
      <c r="B416" s="2"/>
      <c r="C416" s="201"/>
      <c r="D416" s="201"/>
      <c r="E416" s="201"/>
      <c r="F416" s="201"/>
      <c r="G416" s="201"/>
      <c r="H416" s="201"/>
      <c r="I416" s="201"/>
      <c r="J416" s="201"/>
    </row>
    <row r="417" spans="1:10" ht="12.75" customHeight="1" thickBot="1" x14ac:dyDescent="0.25">
      <c r="A417" s="2"/>
      <c r="B417" s="2"/>
      <c r="C417" s="201"/>
      <c r="D417" s="201"/>
      <c r="E417" s="201"/>
      <c r="F417" s="201"/>
      <c r="G417" s="201"/>
      <c r="H417" s="201"/>
      <c r="I417" s="201"/>
      <c r="J417" s="201"/>
    </row>
    <row r="418" spans="1:10" x14ac:dyDescent="0.2">
      <c r="A418" s="205" t="s">
        <v>6</v>
      </c>
      <c r="B418" s="205"/>
      <c r="C418" s="205"/>
      <c r="D418" s="205"/>
      <c r="E418" s="101"/>
      <c r="F418" s="4">
        <v>2026</v>
      </c>
      <c r="G418" s="4">
        <v>2027</v>
      </c>
      <c r="H418" s="4">
        <v>2028</v>
      </c>
      <c r="I418" s="4">
        <v>2029</v>
      </c>
      <c r="J418" s="103" t="s">
        <v>7</v>
      </c>
    </row>
    <row r="419" spans="1:10" ht="12.75" customHeight="1" x14ac:dyDescent="0.2">
      <c r="A419" s="203" t="s">
        <v>8</v>
      </c>
      <c r="B419" s="203"/>
      <c r="C419" s="203"/>
      <c r="D419" s="6"/>
      <c r="E419" s="7"/>
      <c r="F419" s="102">
        <f>F423+F425</f>
        <v>9300000</v>
      </c>
      <c r="G419" s="102">
        <f>G423+G425</f>
        <v>9070000</v>
      </c>
      <c r="H419" s="102">
        <f>H423+H425</f>
        <v>9110000</v>
      </c>
      <c r="I419" s="102">
        <f>I423+I425</f>
        <v>9210000</v>
      </c>
      <c r="J419" s="104">
        <f>SUM(F419:I419)</f>
        <v>36690000</v>
      </c>
    </row>
    <row r="420" spans="1:10" x14ac:dyDescent="0.2">
      <c r="A420" s="10"/>
      <c r="B420" s="11"/>
      <c r="C420" s="194"/>
      <c r="D420" s="194"/>
      <c r="E420" s="194"/>
      <c r="F420" s="12"/>
      <c r="G420" s="12"/>
      <c r="H420" s="12"/>
      <c r="I420" s="12"/>
      <c r="J420" s="13"/>
    </row>
    <row r="421" spans="1:10" x14ac:dyDescent="0.2">
      <c r="A421" s="195" t="s">
        <v>9</v>
      </c>
      <c r="B421" s="206" t="s">
        <v>10</v>
      </c>
      <c r="C421" s="206" t="s">
        <v>11</v>
      </c>
      <c r="D421" s="206"/>
      <c r="E421" s="206"/>
      <c r="F421" s="177">
        <f>F418</f>
        <v>2026</v>
      </c>
      <c r="G421" s="177">
        <f>G418</f>
        <v>2027</v>
      </c>
      <c r="H421" s="177">
        <f>H418</f>
        <v>2028</v>
      </c>
      <c r="I421" s="177">
        <f>I418</f>
        <v>2029</v>
      </c>
      <c r="J421" s="204" t="s">
        <v>12</v>
      </c>
    </row>
    <row r="422" spans="1:10" x14ac:dyDescent="0.2">
      <c r="A422" s="195"/>
      <c r="B422" s="206"/>
      <c r="C422" s="206"/>
      <c r="D422" s="206"/>
      <c r="E422" s="206"/>
      <c r="F422" s="177"/>
      <c r="G422" s="177"/>
      <c r="H422" s="177"/>
      <c r="I422" s="177"/>
      <c r="J422" s="204"/>
    </row>
    <row r="423" spans="1:10" ht="13.5" thickBot="1" x14ac:dyDescent="0.25">
      <c r="A423" s="14" t="s">
        <v>13</v>
      </c>
      <c r="B423" s="177">
        <v>2085</v>
      </c>
      <c r="C423" s="192" t="str">
        <f>'Anexo IV -Projetos e Ativid '!C137</f>
        <v>OPERAÇÃO E MANUTENÇÃO DO SISTEMA DE AGUA POTÁVEL</v>
      </c>
      <c r="D423" s="192"/>
      <c r="E423" s="192"/>
      <c r="F423" s="175">
        <f>'Anexo IV -Projetos e Ativid '!D137</f>
        <v>8050000</v>
      </c>
      <c r="G423" s="175">
        <f>'Anexo IV -Projetos e Ativid '!E137</f>
        <v>8060000</v>
      </c>
      <c r="H423" s="175">
        <f>'Anexo IV -Projetos e Ativid '!F137</f>
        <v>8070000</v>
      </c>
      <c r="I423" s="175">
        <f>'Anexo IV -Projetos e Ativid '!G137</f>
        <v>8080000</v>
      </c>
      <c r="J423" s="191">
        <f>SUM(F423:I423)</f>
        <v>32260000</v>
      </c>
    </row>
    <row r="424" spans="1:10" ht="13.5" thickBot="1" x14ac:dyDescent="0.25">
      <c r="A424" s="105"/>
      <c r="B424" s="177"/>
      <c r="C424" s="192"/>
      <c r="D424" s="192"/>
      <c r="E424" s="192"/>
      <c r="F424" s="175"/>
      <c r="G424" s="175"/>
      <c r="H424" s="175"/>
      <c r="I424" s="175"/>
      <c r="J424" s="191"/>
    </row>
    <row r="425" spans="1:10" ht="13.5" thickBot="1" x14ac:dyDescent="0.25">
      <c r="A425" s="14" t="s">
        <v>13</v>
      </c>
      <c r="B425" s="177">
        <v>2087</v>
      </c>
      <c r="C425" s="192" t="str">
        <f>'Anexo IV -Projetos e Ativid '!C138</f>
        <v>OPERAÇÃO E MANUTENÇÃO DO SISTEMA DE ESGOTAMENTO SANITÁRIO</v>
      </c>
      <c r="D425" s="192"/>
      <c r="E425" s="192"/>
      <c r="F425" s="175">
        <f>'Anexo IV -Projetos e Ativid '!D138</f>
        <v>1250000</v>
      </c>
      <c r="G425" s="175">
        <f>'Anexo IV -Projetos e Ativid '!E138</f>
        <v>1010000</v>
      </c>
      <c r="H425" s="175">
        <f>'Anexo IV -Projetos e Ativid '!F138</f>
        <v>1040000</v>
      </c>
      <c r="I425" s="175">
        <f>'Anexo IV -Projetos e Ativid '!G138</f>
        <v>1130000</v>
      </c>
      <c r="J425" s="191">
        <f>SUM(F425:I425)</f>
        <v>4430000</v>
      </c>
    </row>
    <row r="426" spans="1:10" ht="13.5" customHeight="1" thickBot="1" x14ac:dyDescent="0.25">
      <c r="A426" s="105"/>
      <c r="B426" s="177"/>
      <c r="C426" s="192"/>
      <c r="D426" s="192"/>
      <c r="E426" s="192"/>
      <c r="F426" s="175"/>
      <c r="G426" s="175"/>
      <c r="H426" s="175"/>
      <c r="I426" s="175"/>
      <c r="J426" s="191"/>
    </row>
    <row r="427" spans="1:10" ht="12.75" customHeight="1" thickBot="1" x14ac:dyDescent="0.25"/>
    <row r="428" spans="1:10" ht="13.5" thickBot="1" x14ac:dyDescent="0.25">
      <c r="A428" s="200" t="s">
        <v>2</v>
      </c>
      <c r="B428" s="200"/>
      <c r="C428" s="201" t="str">
        <f>'[1]Anexo II - Resumo dos Programas'!B24</f>
        <v>RPPS</v>
      </c>
      <c r="D428" s="201"/>
      <c r="E428" s="201"/>
      <c r="F428" s="201"/>
      <c r="G428" s="201"/>
      <c r="H428" s="201"/>
      <c r="I428" s="201"/>
      <c r="J428" s="201"/>
    </row>
    <row r="429" spans="1:10" ht="13.5" thickBot="1" x14ac:dyDescent="0.25">
      <c r="A429" s="200" t="s">
        <v>4</v>
      </c>
      <c r="B429" s="200"/>
      <c r="C429" s="201" t="s">
        <v>37</v>
      </c>
      <c r="D429" s="201"/>
      <c r="E429" s="201"/>
      <c r="F429" s="201"/>
      <c r="G429" s="201"/>
      <c r="H429" s="201"/>
      <c r="I429" s="201"/>
      <c r="J429" s="201"/>
    </row>
    <row r="430" spans="1:10" ht="13.5" thickBot="1" x14ac:dyDescent="0.25">
      <c r="A430" s="2"/>
      <c r="B430" s="2"/>
      <c r="C430" s="201"/>
      <c r="D430" s="201"/>
      <c r="E430" s="201"/>
      <c r="F430" s="201"/>
      <c r="G430" s="201"/>
      <c r="H430" s="201"/>
      <c r="I430" s="201"/>
      <c r="J430" s="201"/>
    </row>
    <row r="431" spans="1:10" ht="13.5" thickBot="1" x14ac:dyDescent="0.25">
      <c r="A431" s="2"/>
      <c r="B431" s="2"/>
      <c r="C431" s="201"/>
      <c r="D431" s="201"/>
      <c r="E431" s="201"/>
      <c r="F431" s="201"/>
      <c r="G431" s="201"/>
      <c r="H431" s="201"/>
      <c r="I431" s="201"/>
      <c r="J431" s="201"/>
    </row>
    <row r="432" spans="1:10" ht="12.75" customHeight="1" thickBot="1" x14ac:dyDescent="0.25">
      <c r="A432" s="2"/>
      <c r="B432" s="2"/>
      <c r="C432" s="201"/>
      <c r="D432" s="201"/>
      <c r="E432" s="201"/>
      <c r="F432" s="201"/>
      <c r="G432" s="201"/>
      <c r="H432" s="201"/>
      <c r="I432" s="201"/>
      <c r="J432" s="201"/>
    </row>
    <row r="433" spans="1:10" ht="12.75" customHeight="1" thickBot="1" x14ac:dyDescent="0.25">
      <c r="A433" s="2"/>
      <c r="B433" s="2"/>
      <c r="C433" s="201"/>
      <c r="D433" s="201"/>
      <c r="E433" s="201"/>
      <c r="F433" s="201"/>
      <c r="G433" s="201"/>
      <c r="H433" s="201"/>
      <c r="I433" s="201"/>
      <c r="J433" s="201"/>
    </row>
    <row r="434" spans="1:10" x14ac:dyDescent="0.2">
      <c r="A434" s="205" t="s">
        <v>6</v>
      </c>
      <c r="B434" s="205"/>
      <c r="C434" s="205"/>
      <c r="D434" s="205"/>
      <c r="E434" s="101"/>
      <c r="F434" s="4">
        <v>2026</v>
      </c>
      <c r="G434" s="4">
        <v>2027</v>
      </c>
      <c r="H434" s="4">
        <v>2028</v>
      </c>
      <c r="I434" s="4">
        <v>2029</v>
      </c>
      <c r="J434" s="103" t="s">
        <v>7</v>
      </c>
    </row>
    <row r="435" spans="1:10" ht="12.75" customHeight="1" x14ac:dyDescent="0.2">
      <c r="A435" s="203" t="s">
        <v>8</v>
      </c>
      <c r="B435" s="203"/>
      <c r="C435" s="203"/>
      <c r="D435" s="6"/>
      <c r="E435" s="7"/>
      <c r="F435" s="102">
        <f>F439+F441</f>
        <v>8900000</v>
      </c>
      <c r="G435" s="102">
        <f>G439+G441</f>
        <v>9420000</v>
      </c>
      <c r="H435" s="102">
        <f>H439+H441</f>
        <v>9960000</v>
      </c>
      <c r="I435" s="102">
        <f>I439+I441</f>
        <v>10500000</v>
      </c>
      <c r="J435" s="104">
        <f>SUM(F435:I435)</f>
        <v>38780000</v>
      </c>
    </row>
    <row r="436" spans="1:10" x14ac:dyDescent="0.2">
      <c r="A436" s="10"/>
      <c r="B436" s="11"/>
      <c r="C436" s="194"/>
      <c r="D436" s="194"/>
      <c r="E436" s="194"/>
      <c r="F436" s="12"/>
      <c r="G436" s="12"/>
      <c r="H436" s="12"/>
      <c r="I436" s="12"/>
      <c r="J436" s="13"/>
    </row>
    <row r="437" spans="1:10" x14ac:dyDescent="0.2">
      <c r="A437" s="195" t="s">
        <v>9</v>
      </c>
      <c r="B437" s="206" t="s">
        <v>10</v>
      </c>
      <c r="C437" s="206" t="s">
        <v>11</v>
      </c>
      <c r="D437" s="206"/>
      <c r="E437" s="206"/>
      <c r="F437" s="177">
        <f>F434</f>
        <v>2026</v>
      </c>
      <c r="G437" s="177">
        <f>G434</f>
        <v>2027</v>
      </c>
      <c r="H437" s="177">
        <f>H434</f>
        <v>2028</v>
      </c>
      <c r="I437" s="177">
        <f>I434</f>
        <v>2029</v>
      </c>
      <c r="J437" s="204" t="s">
        <v>12</v>
      </c>
    </row>
    <row r="438" spans="1:10" x14ac:dyDescent="0.2">
      <c r="A438" s="195"/>
      <c r="B438" s="206"/>
      <c r="C438" s="206"/>
      <c r="D438" s="206"/>
      <c r="E438" s="206"/>
      <c r="F438" s="177"/>
      <c r="G438" s="177"/>
      <c r="H438" s="177"/>
      <c r="I438" s="177"/>
      <c r="J438" s="204"/>
    </row>
    <row r="439" spans="1:10" ht="13.5" thickBot="1" x14ac:dyDescent="0.25">
      <c r="A439" s="14" t="s">
        <v>13</v>
      </c>
      <c r="B439" s="177">
        <f>'Anexo IV -Projetos e Ativid '!B127</f>
        <v>2095</v>
      </c>
      <c r="C439" s="192" t="str">
        <f>'Anexo IV -Projetos e Ativid '!C127</f>
        <v>APOIO ADMINISTRATIVO DO RPPS</v>
      </c>
      <c r="D439" s="192"/>
      <c r="E439" s="192"/>
      <c r="F439" s="175">
        <f>'Anexo IV -Projetos e Ativid '!D127</f>
        <v>400000</v>
      </c>
      <c r="G439" s="175">
        <f>'Anexo IV -Projetos e Ativid '!E127</f>
        <v>420000</v>
      </c>
      <c r="H439" s="175">
        <f>'Anexo IV -Projetos e Ativid '!F127</f>
        <v>460000</v>
      </c>
      <c r="I439" s="175">
        <f>'Anexo IV -Projetos e Ativid '!G127</f>
        <v>500000</v>
      </c>
      <c r="J439" s="191">
        <f>SUM(F439:I439)</f>
        <v>1780000</v>
      </c>
    </row>
    <row r="440" spans="1:10" ht="13.5" thickBot="1" x14ac:dyDescent="0.25">
      <c r="A440" s="105"/>
      <c r="B440" s="177"/>
      <c r="C440" s="192"/>
      <c r="D440" s="192"/>
      <c r="E440" s="192"/>
      <c r="F440" s="175"/>
      <c r="G440" s="175"/>
      <c r="H440" s="175"/>
      <c r="I440" s="175"/>
      <c r="J440" s="191"/>
    </row>
    <row r="441" spans="1:10" ht="13.5" thickBot="1" x14ac:dyDescent="0.25">
      <c r="A441" s="14" t="s">
        <v>38</v>
      </c>
      <c r="B441" s="177">
        <f>'Anexo IV -Projetos e Ativid '!B128</f>
        <v>7</v>
      </c>
      <c r="C441" s="192" t="str">
        <f>'Anexo IV -Projetos e Ativid '!C128</f>
        <v>PAGAMENTO BENEFÍCIOS PREVIDENCIÁRIOS RPPS</v>
      </c>
      <c r="D441" s="192"/>
      <c r="E441" s="192"/>
      <c r="F441" s="175">
        <f>'Anexo IV -Projetos e Ativid '!D128</f>
        <v>8500000</v>
      </c>
      <c r="G441" s="175">
        <f>'Anexo IV -Projetos e Ativid '!E128</f>
        <v>9000000</v>
      </c>
      <c r="H441" s="175">
        <f>'Anexo IV -Projetos e Ativid '!F128</f>
        <v>9500000</v>
      </c>
      <c r="I441" s="175">
        <f>'Anexo IV -Projetos e Ativid '!G128</f>
        <v>10000000</v>
      </c>
      <c r="J441" s="191">
        <f>SUM(F441:I441)</f>
        <v>37000000</v>
      </c>
    </row>
    <row r="442" spans="1:10" ht="13.5" thickBot="1" x14ac:dyDescent="0.25">
      <c r="A442" s="105"/>
      <c r="B442" s="177"/>
      <c r="C442" s="192"/>
      <c r="D442" s="192"/>
      <c r="E442" s="192"/>
      <c r="F442" s="175"/>
      <c r="G442" s="175"/>
      <c r="H442" s="175"/>
      <c r="I442" s="175"/>
      <c r="J442" s="191"/>
    </row>
    <row r="443" spans="1:10" ht="13.5" customHeight="1" thickBot="1" x14ac:dyDescent="0.25">
      <c r="A443" s="199" t="s">
        <v>39</v>
      </c>
      <c r="B443" s="199"/>
      <c r="C443" s="199"/>
      <c r="D443" s="199"/>
      <c r="E443" s="199"/>
      <c r="F443" s="199"/>
      <c r="G443" s="199"/>
      <c r="H443" s="199"/>
      <c r="I443" s="199"/>
      <c r="J443" s="199"/>
    </row>
    <row r="444" spans="1:10" ht="12.75" customHeight="1" thickBot="1" x14ac:dyDescent="0.25"/>
    <row r="445" spans="1:10" ht="12.75" customHeight="1" thickBot="1" x14ac:dyDescent="0.25">
      <c r="A445" s="200" t="s">
        <v>2</v>
      </c>
      <c r="B445" s="200"/>
      <c r="C445" s="201" t="s">
        <v>40</v>
      </c>
      <c r="D445" s="201"/>
      <c r="E445" s="201"/>
      <c r="F445" s="201"/>
      <c r="G445" s="201"/>
      <c r="H445" s="201"/>
      <c r="I445" s="201"/>
      <c r="J445" s="201"/>
    </row>
    <row r="446" spans="1:10" x14ac:dyDescent="0.2">
      <c r="A446" s="202" t="s">
        <v>6</v>
      </c>
      <c r="B446" s="202"/>
      <c r="C446" s="202"/>
      <c r="D446" s="202"/>
      <c r="E446" s="3"/>
      <c r="F446" s="4">
        <v>2026</v>
      </c>
      <c r="G446" s="4">
        <v>2027</v>
      </c>
      <c r="H446" s="34">
        <v>2028</v>
      </c>
      <c r="I446" s="4">
        <v>2029</v>
      </c>
      <c r="J446" s="5" t="s">
        <v>7</v>
      </c>
    </row>
    <row r="447" spans="1:10" ht="12.75" customHeight="1" x14ac:dyDescent="0.2">
      <c r="A447" s="203" t="s">
        <v>8</v>
      </c>
      <c r="B447" s="203"/>
      <c r="C447" s="203"/>
      <c r="D447" s="6"/>
      <c r="E447" s="7"/>
      <c r="F447" s="8">
        <f>(SUM(F451:F461))</f>
        <v>31480000</v>
      </c>
      <c r="G447" s="8">
        <f>(SUM(G451:G461))</f>
        <v>31460000</v>
      </c>
      <c r="H447" s="106">
        <f>(SUM(H451:H461))</f>
        <v>33320000</v>
      </c>
      <c r="I447" s="8">
        <f>(SUM(I451:I461))</f>
        <v>32880000</v>
      </c>
      <c r="J447" s="9">
        <f>SUM(F447:I447)</f>
        <v>129140000</v>
      </c>
    </row>
    <row r="448" spans="1:10" x14ac:dyDescent="0.2">
      <c r="A448" s="10"/>
      <c r="B448" s="11"/>
      <c r="C448" s="194"/>
      <c r="D448" s="194"/>
      <c r="E448" s="194"/>
      <c r="F448" s="12"/>
      <c r="G448" s="12"/>
      <c r="H448" s="35"/>
      <c r="I448" s="12"/>
      <c r="J448" s="13"/>
    </row>
    <row r="449" spans="1:10" ht="12.75" customHeight="1" x14ac:dyDescent="0.2">
      <c r="A449" s="195" t="s">
        <v>9</v>
      </c>
      <c r="B449" s="196" t="s">
        <v>10</v>
      </c>
      <c r="C449" s="196" t="s">
        <v>11</v>
      </c>
      <c r="D449" s="196"/>
      <c r="E449" s="196"/>
      <c r="F449" s="177">
        <f>F446</f>
        <v>2026</v>
      </c>
      <c r="G449" s="177">
        <f>G446</f>
        <v>2027</v>
      </c>
      <c r="H449" s="193">
        <f>H446</f>
        <v>2028</v>
      </c>
      <c r="I449" s="177">
        <f>I446</f>
        <v>2029</v>
      </c>
      <c r="J449" s="197" t="s">
        <v>12</v>
      </c>
    </row>
    <row r="450" spans="1:10" x14ac:dyDescent="0.2">
      <c r="A450" s="195"/>
      <c r="B450" s="196"/>
      <c r="C450" s="196"/>
      <c r="D450" s="196"/>
      <c r="E450" s="196"/>
      <c r="F450" s="177"/>
      <c r="G450" s="177"/>
      <c r="H450" s="193"/>
      <c r="I450" s="177"/>
      <c r="J450" s="197"/>
    </row>
    <row r="451" spans="1:10" ht="13.5" thickBot="1" x14ac:dyDescent="0.25">
      <c r="A451" s="14" t="s">
        <v>38</v>
      </c>
      <c r="B451" s="177">
        <v>6</v>
      </c>
      <c r="C451" s="192" t="s">
        <v>41</v>
      </c>
      <c r="D451" s="192"/>
      <c r="E451" s="192"/>
      <c r="F451" s="175">
        <f>'Anexo IV -Projetos e Ativid '!D83</f>
        <v>3100000</v>
      </c>
      <c r="G451" s="175">
        <f>'Anexo IV -Projetos e Ativid '!E83</f>
        <v>3300000</v>
      </c>
      <c r="H451" s="175">
        <f>'Anexo IV -Projetos e Ativid '!F83</f>
        <v>3500000</v>
      </c>
      <c r="I451" s="175">
        <f>'Anexo IV -Projetos e Ativid '!G83</f>
        <v>3700000</v>
      </c>
      <c r="J451" s="198">
        <f>SUM(F451:I451)</f>
        <v>13600000</v>
      </c>
    </row>
    <row r="452" spans="1:10" ht="13.5" thickBot="1" x14ac:dyDescent="0.25">
      <c r="A452" s="15"/>
      <c r="B452" s="177"/>
      <c r="C452" s="192"/>
      <c r="D452" s="192"/>
      <c r="E452" s="192"/>
      <c r="F452" s="175"/>
      <c r="G452" s="175"/>
      <c r="H452" s="175"/>
      <c r="I452" s="175"/>
      <c r="J452" s="198"/>
    </row>
    <row r="453" spans="1:10" ht="13.5" thickBot="1" x14ac:dyDescent="0.25">
      <c r="A453" s="14" t="s">
        <v>38</v>
      </c>
      <c r="B453" s="177">
        <v>2060</v>
      </c>
      <c r="C453" s="192" t="s">
        <v>280</v>
      </c>
      <c r="D453" s="192"/>
      <c r="E453" s="192"/>
      <c r="F453" s="175">
        <f>'Anexo IV -Projetos e Ativid '!D82</f>
        <v>5880000</v>
      </c>
      <c r="G453" s="175">
        <f>'Anexo IV -Projetos e Ativid '!E82</f>
        <v>5980000</v>
      </c>
      <c r="H453" s="175">
        <f>'Anexo IV -Projetos e Ativid '!F82</f>
        <v>6080000</v>
      </c>
      <c r="I453" s="175">
        <f>'Anexo IV -Projetos e Ativid '!G82</f>
        <v>6180000</v>
      </c>
      <c r="J453" s="198">
        <f>SUM(F453:I453)</f>
        <v>24120000</v>
      </c>
    </row>
    <row r="454" spans="1:10" ht="13.5" thickBot="1" x14ac:dyDescent="0.25">
      <c r="A454" s="15"/>
      <c r="B454" s="177"/>
      <c r="C454" s="192"/>
      <c r="D454" s="192"/>
      <c r="E454" s="192"/>
      <c r="F454" s="175"/>
      <c r="G454" s="175"/>
      <c r="H454" s="175"/>
      <c r="I454" s="175"/>
      <c r="J454" s="198"/>
    </row>
    <row r="456" spans="1:10" ht="13.5" thickBot="1" x14ac:dyDescent="0.25">
      <c r="A456" s="14" t="s">
        <v>38</v>
      </c>
      <c r="B456" s="177">
        <f>'Anexo IV -Projetos e Ativid '!B129</f>
        <v>8</v>
      </c>
      <c r="C456" s="192" t="str">
        <f>'Anexo IV -Projetos e Ativid '!C129</f>
        <v>ENCARGOS ESPECIAIS DE RESPONSABILIDADE DO RPPS</v>
      </c>
      <c r="D456" s="192"/>
      <c r="E456" s="192"/>
      <c r="F456" s="175">
        <f>'Anexo IV -Projetos e Ativid '!D129</f>
        <v>1500000</v>
      </c>
      <c r="G456" s="175">
        <f>'Anexo IV -Projetos e Ativid '!E129</f>
        <v>1980000</v>
      </c>
      <c r="H456" s="175">
        <f>'Anexo IV -Projetos e Ativid '!F129</f>
        <v>2300000</v>
      </c>
      <c r="I456" s="175">
        <f>'Anexo IV -Projetos e Ativid '!G129</f>
        <v>2350000</v>
      </c>
      <c r="J456" s="191">
        <f>SUM(F456:I456)</f>
        <v>8130000</v>
      </c>
    </row>
    <row r="457" spans="1:10" ht="13.5" thickBot="1" x14ac:dyDescent="0.25">
      <c r="A457" s="15"/>
      <c r="B457" s="177"/>
      <c r="C457" s="192"/>
      <c r="D457" s="192"/>
      <c r="E457" s="192"/>
      <c r="F457" s="175"/>
      <c r="G457" s="175"/>
      <c r="H457" s="175"/>
      <c r="I457" s="175"/>
      <c r="J457" s="191"/>
    </row>
    <row r="458" spans="1:10" ht="13.5" thickBot="1" x14ac:dyDescent="0.25">
      <c r="A458" s="14" t="s">
        <v>38</v>
      </c>
      <c r="B458" s="177">
        <v>3999</v>
      </c>
      <c r="C458" s="192" t="s">
        <v>278</v>
      </c>
      <c r="D458" s="192"/>
      <c r="E458" s="192"/>
      <c r="F458" s="175">
        <f>'Anexo IV -Projetos e Ativid '!D142</f>
        <v>1000000</v>
      </c>
      <c r="G458" s="175">
        <f>'Anexo IV -Projetos e Ativid '!E142</f>
        <v>1000000</v>
      </c>
      <c r="H458" s="175">
        <f>'Anexo IV -Projetos e Ativid '!F142</f>
        <v>1000000</v>
      </c>
      <c r="I458" s="175">
        <f>'Anexo IV -Projetos e Ativid '!G142</f>
        <v>1000000</v>
      </c>
      <c r="J458" s="191">
        <f>SUM(F458:I458)</f>
        <v>4000000</v>
      </c>
    </row>
    <row r="459" spans="1:10" ht="13.5" thickBot="1" x14ac:dyDescent="0.25">
      <c r="A459" s="15"/>
      <c r="B459" s="177"/>
      <c r="C459" s="192"/>
      <c r="D459" s="192"/>
      <c r="E459" s="192"/>
      <c r="F459" s="175"/>
      <c r="G459" s="175"/>
      <c r="H459" s="175"/>
      <c r="I459" s="175"/>
      <c r="J459" s="191"/>
    </row>
    <row r="460" spans="1:10" ht="13.5" thickBot="1" x14ac:dyDescent="0.25">
      <c r="A460" s="14" t="s">
        <v>38</v>
      </c>
      <c r="B460" s="177">
        <v>3999</v>
      </c>
      <c r="C460" s="192" t="s">
        <v>279</v>
      </c>
      <c r="D460" s="192"/>
      <c r="E460" s="192"/>
      <c r="F460" s="175">
        <f>'Anexo IV -Projetos e Ativid '!D130</f>
        <v>20000000</v>
      </c>
      <c r="G460" s="175">
        <f>'Anexo IV -Projetos e Ativid '!E130</f>
        <v>19200000</v>
      </c>
      <c r="H460" s="175">
        <f>'Anexo IV -Projetos e Ativid '!F130</f>
        <v>20440000</v>
      </c>
      <c r="I460" s="175">
        <f>'Anexo IV -Projetos e Ativid '!G130</f>
        <v>19650000</v>
      </c>
      <c r="J460" s="191">
        <f>SUM(F460:I460)</f>
        <v>79290000</v>
      </c>
    </row>
    <row r="461" spans="1:10" ht="13.5" thickBot="1" x14ac:dyDescent="0.25">
      <c r="A461" s="15"/>
      <c r="B461" s="177"/>
      <c r="C461" s="192"/>
      <c r="D461" s="192"/>
      <c r="E461" s="192"/>
      <c r="F461" s="175"/>
      <c r="G461" s="175"/>
      <c r="H461" s="175"/>
      <c r="I461" s="175"/>
      <c r="J461" s="191"/>
    </row>
    <row r="463" spans="1:10" x14ac:dyDescent="0.2">
      <c r="F463" s="19"/>
      <c r="G463" s="19"/>
      <c r="H463" s="38"/>
      <c r="I463" s="19"/>
      <c r="J463" s="19"/>
    </row>
  </sheetData>
  <sheetProtection selectLockedCells="1" selectUnlockedCells="1"/>
  <mergeCells count="976">
    <mergeCell ref="J389:J390"/>
    <mergeCell ref="H284:H285"/>
    <mergeCell ref="C249:J249"/>
    <mergeCell ref="C262:E263"/>
    <mergeCell ref="C328:E329"/>
    <mergeCell ref="F328:F329"/>
    <mergeCell ref="C306:E307"/>
    <mergeCell ref="H387:H388"/>
    <mergeCell ref="F387:F388"/>
    <mergeCell ref="G387:G388"/>
    <mergeCell ref="G389:G390"/>
    <mergeCell ref="H389:H390"/>
    <mergeCell ref="I389:I390"/>
    <mergeCell ref="F389:F390"/>
    <mergeCell ref="G350:G351"/>
    <mergeCell ref="H350:H351"/>
    <mergeCell ref="I350:I351"/>
    <mergeCell ref="J350:J351"/>
    <mergeCell ref="G344:G345"/>
    <mergeCell ref="G346:G347"/>
    <mergeCell ref="G348:G349"/>
    <mergeCell ref="A258:C258"/>
    <mergeCell ref="C259:E259"/>
    <mergeCell ref="A260:A261"/>
    <mergeCell ref="A238:C238"/>
    <mergeCell ref="C239:E239"/>
    <mergeCell ref="J188:J189"/>
    <mergeCell ref="J190:J191"/>
    <mergeCell ref="J387:J388"/>
    <mergeCell ref="C192:E193"/>
    <mergeCell ref="B328:B329"/>
    <mergeCell ref="A204:C204"/>
    <mergeCell ref="C205:E205"/>
    <mergeCell ref="A206:A207"/>
    <mergeCell ref="B206:B207"/>
    <mergeCell ref="A221:D221"/>
    <mergeCell ref="I188:I189"/>
    <mergeCell ref="C284:E285"/>
    <mergeCell ref="C304:E305"/>
    <mergeCell ref="C264:E265"/>
    <mergeCell ref="C275:E275"/>
    <mergeCell ref="A198:B198"/>
    <mergeCell ref="C206:E207"/>
    <mergeCell ref="I387:I388"/>
    <mergeCell ref="H192:H193"/>
    <mergeCell ref="G328:G329"/>
    <mergeCell ref="C198:J202"/>
    <mergeCell ref="J210:J211"/>
    <mergeCell ref="C47:E48"/>
    <mergeCell ref="C49:E50"/>
    <mergeCell ref="C51:E52"/>
    <mergeCell ref="C53:E54"/>
    <mergeCell ref="C55:E56"/>
    <mergeCell ref="C62:J62"/>
    <mergeCell ref="I53:I54"/>
    <mergeCell ref="J53:J54"/>
    <mergeCell ref="J51:J52"/>
    <mergeCell ref="F53:F54"/>
    <mergeCell ref="C187:E187"/>
    <mergeCell ref="A69:C69"/>
    <mergeCell ref="C70:E70"/>
    <mergeCell ref="A71:A72"/>
    <mergeCell ref="B71:B72"/>
    <mergeCell ref="C79:E80"/>
    <mergeCell ref="A112:C112"/>
    <mergeCell ref="C113:E113"/>
    <mergeCell ref="A114:A115"/>
    <mergeCell ref="B114:B115"/>
    <mergeCell ref="B49:B50"/>
    <mergeCell ref="B194:B195"/>
    <mergeCell ref="B350:B351"/>
    <mergeCell ref="C350:E351"/>
    <mergeCell ref="F350:F351"/>
    <mergeCell ref="C344:E345"/>
    <mergeCell ref="C387:E388"/>
    <mergeCell ref="C389:E390"/>
    <mergeCell ref="B387:B388"/>
    <mergeCell ref="B389:B390"/>
    <mergeCell ref="C346:E347"/>
    <mergeCell ref="C348:E349"/>
    <mergeCell ref="B344:B345"/>
    <mergeCell ref="B346:B347"/>
    <mergeCell ref="B348:B349"/>
    <mergeCell ref="F348:F349"/>
    <mergeCell ref="A353:B353"/>
    <mergeCell ref="C353:J353"/>
    <mergeCell ref="A354:B354"/>
    <mergeCell ref="C354:J358"/>
    <mergeCell ref="A359:D359"/>
    <mergeCell ref="A360:C360"/>
    <mergeCell ref="C361:E361"/>
    <mergeCell ref="A362:A363"/>
    <mergeCell ref="B362:B363"/>
    <mergeCell ref="C362:E363"/>
    <mergeCell ref="A1:J1"/>
    <mergeCell ref="A2:J2"/>
    <mergeCell ref="A3:J3"/>
    <mergeCell ref="A4:B4"/>
    <mergeCell ref="C4:J4"/>
    <mergeCell ref="A5:B5"/>
    <mergeCell ref="C5:J9"/>
    <mergeCell ref="A10:D10"/>
    <mergeCell ref="A11:C11"/>
    <mergeCell ref="C12:E12"/>
    <mergeCell ref="A13:A14"/>
    <mergeCell ref="B13:B14"/>
    <mergeCell ref="C13:E14"/>
    <mergeCell ref="F13:F14"/>
    <mergeCell ref="G13:G14"/>
    <mergeCell ref="H13:H14"/>
    <mergeCell ref="I13:I14"/>
    <mergeCell ref="J13:J14"/>
    <mergeCell ref="B15:B16"/>
    <mergeCell ref="C15:E16"/>
    <mergeCell ref="F15:F16"/>
    <mergeCell ref="G15:G16"/>
    <mergeCell ref="H15:H16"/>
    <mergeCell ref="C27:E28"/>
    <mergeCell ref="I15:I16"/>
    <mergeCell ref="J15:J16"/>
    <mergeCell ref="A18:B18"/>
    <mergeCell ref="C18:J18"/>
    <mergeCell ref="A19:B19"/>
    <mergeCell ref="C19:J23"/>
    <mergeCell ref="B29:B30"/>
    <mergeCell ref="C29:E30"/>
    <mergeCell ref="F29:F30"/>
    <mergeCell ref="G29:G30"/>
    <mergeCell ref="H29:H30"/>
    <mergeCell ref="A24:D24"/>
    <mergeCell ref="A25:C25"/>
    <mergeCell ref="C26:E26"/>
    <mergeCell ref="A27:A28"/>
    <mergeCell ref="B27:B28"/>
    <mergeCell ref="F27:F28"/>
    <mergeCell ref="G27:G28"/>
    <mergeCell ref="H27:H28"/>
    <mergeCell ref="I27:I28"/>
    <mergeCell ref="J27:J28"/>
    <mergeCell ref="H33:H34"/>
    <mergeCell ref="I33:I34"/>
    <mergeCell ref="I29:I30"/>
    <mergeCell ref="J29:J30"/>
    <mergeCell ref="B31:B32"/>
    <mergeCell ref="C31:E32"/>
    <mergeCell ref="F31:F32"/>
    <mergeCell ref="G31:G32"/>
    <mergeCell ref="H31:H32"/>
    <mergeCell ref="I31:I32"/>
    <mergeCell ref="J33:J34"/>
    <mergeCell ref="A36:B36"/>
    <mergeCell ref="C36:J36"/>
    <mergeCell ref="J31:J32"/>
    <mergeCell ref="A37:B37"/>
    <mergeCell ref="C37:J41"/>
    <mergeCell ref="A42:D42"/>
    <mergeCell ref="B33:B34"/>
    <mergeCell ref="C33:E34"/>
    <mergeCell ref="F33:F34"/>
    <mergeCell ref="G33:G34"/>
    <mergeCell ref="A43:C43"/>
    <mergeCell ref="C44:E44"/>
    <mergeCell ref="A45:A46"/>
    <mergeCell ref="B45:B46"/>
    <mergeCell ref="C45:E46"/>
    <mergeCell ref="F45:F46"/>
    <mergeCell ref="G45:G46"/>
    <mergeCell ref="H45:H46"/>
    <mergeCell ref="I45:I46"/>
    <mergeCell ref="J45:J46"/>
    <mergeCell ref="B47:B48"/>
    <mergeCell ref="F47:F48"/>
    <mergeCell ref="G47:G48"/>
    <mergeCell ref="H47:H48"/>
    <mergeCell ref="I47:I48"/>
    <mergeCell ref="J47:J48"/>
    <mergeCell ref="F49:F50"/>
    <mergeCell ref="G49:G50"/>
    <mergeCell ref="H49:H50"/>
    <mergeCell ref="I49:I50"/>
    <mergeCell ref="J49:J50"/>
    <mergeCell ref="B51:B52"/>
    <mergeCell ref="F51:F52"/>
    <mergeCell ref="G51:G52"/>
    <mergeCell ref="H51:H52"/>
    <mergeCell ref="I51:I52"/>
    <mergeCell ref="B53:B54"/>
    <mergeCell ref="G53:G54"/>
    <mergeCell ref="H53:H54"/>
    <mergeCell ref="J55:J56"/>
    <mergeCell ref="B57:B58"/>
    <mergeCell ref="C57:E58"/>
    <mergeCell ref="F57:F58"/>
    <mergeCell ref="G57:G58"/>
    <mergeCell ref="H57:H58"/>
    <mergeCell ref="I57:I58"/>
    <mergeCell ref="J71:J72"/>
    <mergeCell ref="J57:J58"/>
    <mergeCell ref="B55:B56"/>
    <mergeCell ref="A62:B62"/>
    <mergeCell ref="A63:B63"/>
    <mergeCell ref="C63:J67"/>
    <mergeCell ref="A68:D68"/>
    <mergeCell ref="J59:J60"/>
    <mergeCell ref="H59:H60"/>
    <mergeCell ref="I59:I60"/>
    <mergeCell ref="F55:F56"/>
    <mergeCell ref="G55:G56"/>
    <mergeCell ref="H55:H56"/>
    <mergeCell ref="I55:I56"/>
    <mergeCell ref="F73:F74"/>
    <mergeCell ref="G73:G74"/>
    <mergeCell ref="H73:H74"/>
    <mergeCell ref="I73:I74"/>
    <mergeCell ref="C71:E72"/>
    <mergeCell ref="F71:F72"/>
    <mergeCell ref="G71:G72"/>
    <mergeCell ref="H71:H72"/>
    <mergeCell ref="I71:I72"/>
    <mergeCell ref="J73:J74"/>
    <mergeCell ref="I75:I76"/>
    <mergeCell ref="J75:J76"/>
    <mergeCell ref="B73:B74"/>
    <mergeCell ref="C73:E74"/>
    <mergeCell ref="H328:H329"/>
    <mergeCell ref="I328:I329"/>
    <mergeCell ref="J328:J329"/>
    <mergeCell ref="B75:B76"/>
    <mergeCell ref="F75:F76"/>
    <mergeCell ref="G75:G76"/>
    <mergeCell ref="H75:H76"/>
    <mergeCell ref="J77:J78"/>
    <mergeCell ref="C75:E76"/>
    <mergeCell ref="C77:E78"/>
    <mergeCell ref="F79:F80"/>
    <mergeCell ref="G79:G80"/>
    <mergeCell ref="H79:H80"/>
    <mergeCell ref="I79:I80"/>
    <mergeCell ref="F77:F78"/>
    <mergeCell ref="G77:G78"/>
    <mergeCell ref="H77:H78"/>
    <mergeCell ref="I77:I78"/>
    <mergeCell ref="J79:J80"/>
    <mergeCell ref="B77:B78"/>
    <mergeCell ref="I83:I84"/>
    <mergeCell ref="J83:J84"/>
    <mergeCell ref="B81:B82"/>
    <mergeCell ref="F81:F82"/>
    <mergeCell ref="G81:G82"/>
    <mergeCell ref="H81:H82"/>
    <mergeCell ref="I81:I82"/>
    <mergeCell ref="B79:B80"/>
    <mergeCell ref="J81:J82"/>
    <mergeCell ref="B83:B84"/>
    <mergeCell ref="F83:F84"/>
    <mergeCell ref="G83:G84"/>
    <mergeCell ref="H83:H84"/>
    <mergeCell ref="C81:E82"/>
    <mergeCell ref="C83:E84"/>
    <mergeCell ref="G87:G88"/>
    <mergeCell ref="H87:H88"/>
    <mergeCell ref="I87:I88"/>
    <mergeCell ref="F85:F86"/>
    <mergeCell ref="G85:G86"/>
    <mergeCell ref="H85:H86"/>
    <mergeCell ref="I85:I86"/>
    <mergeCell ref="B85:B86"/>
    <mergeCell ref="C85:E86"/>
    <mergeCell ref="A90:B90"/>
    <mergeCell ref="C90:J90"/>
    <mergeCell ref="A91:B91"/>
    <mergeCell ref="C91:J95"/>
    <mergeCell ref="B87:B88"/>
    <mergeCell ref="C87:E88"/>
    <mergeCell ref="F87:F88"/>
    <mergeCell ref="J85:J86"/>
    <mergeCell ref="J87:J88"/>
    <mergeCell ref="A96:D96"/>
    <mergeCell ref="A97:C97"/>
    <mergeCell ref="C98:E98"/>
    <mergeCell ref="A99:A100"/>
    <mergeCell ref="B99:B100"/>
    <mergeCell ref="C99:E100"/>
    <mergeCell ref="F99:F100"/>
    <mergeCell ref="G99:G100"/>
    <mergeCell ref="H99:H100"/>
    <mergeCell ref="I99:I100"/>
    <mergeCell ref="J99:J100"/>
    <mergeCell ref="B101:B102"/>
    <mergeCell ref="F101:F102"/>
    <mergeCell ref="G101:G102"/>
    <mergeCell ref="H101:H102"/>
    <mergeCell ref="I101:I102"/>
    <mergeCell ref="J101:J102"/>
    <mergeCell ref="A104:B104"/>
    <mergeCell ref="C104:J104"/>
    <mergeCell ref="C114:E115"/>
    <mergeCell ref="F114:F115"/>
    <mergeCell ref="G114:G115"/>
    <mergeCell ref="A105:B105"/>
    <mergeCell ref="C105:J110"/>
    <mergeCell ref="A111:D111"/>
    <mergeCell ref="C101:E102"/>
    <mergeCell ref="J114:J115"/>
    <mergeCell ref="B116:B117"/>
    <mergeCell ref="F116:F117"/>
    <mergeCell ref="G116:G117"/>
    <mergeCell ref="H116:H117"/>
    <mergeCell ref="I116:I117"/>
    <mergeCell ref="J116:J117"/>
    <mergeCell ref="C116:E117"/>
    <mergeCell ref="H114:H115"/>
    <mergeCell ref="I114:I115"/>
    <mergeCell ref="G132:G133"/>
    <mergeCell ref="H132:H133"/>
    <mergeCell ref="I132:I133"/>
    <mergeCell ref="J132:J133"/>
    <mergeCell ref="B134:B135"/>
    <mergeCell ref="C134:E135"/>
    <mergeCell ref="F134:F135"/>
    <mergeCell ref="B118:B119"/>
    <mergeCell ref="C118:E119"/>
    <mergeCell ref="F118:F119"/>
    <mergeCell ref="G118:G119"/>
    <mergeCell ref="H118:H119"/>
    <mergeCell ref="I118:I119"/>
    <mergeCell ref="I212:I213"/>
    <mergeCell ref="J208:J209"/>
    <mergeCell ref="F210:F211"/>
    <mergeCell ref="G210:G211"/>
    <mergeCell ref="H210:H211"/>
    <mergeCell ref="I210:I211"/>
    <mergeCell ref="I208:I209"/>
    <mergeCell ref="J118:J119"/>
    <mergeCell ref="A197:B197"/>
    <mergeCell ref="C197:J197"/>
    <mergeCell ref="A132:A133"/>
    <mergeCell ref="B132:B133"/>
    <mergeCell ref="C132:E133"/>
    <mergeCell ref="F132:F133"/>
    <mergeCell ref="F206:F207"/>
    <mergeCell ref="G206:G207"/>
    <mergeCell ref="J206:J207"/>
    <mergeCell ref="C131:E131"/>
    <mergeCell ref="A121:B121"/>
    <mergeCell ref="C121:J121"/>
    <mergeCell ref="A122:B122"/>
    <mergeCell ref="C122:J128"/>
    <mergeCell ref="A129:D129"/>
    <mergeCell ref="A130:C130"/>
    <mergeCell ref="B208:B209"/>
    <mergeCell ref="C176:E177"/>
    <mergeCell ref="C190:E191"/>
    <mergeCell ref="A179:B179"/>
    <mergeCell ref="C179:J179"/>
    <mergeCell ref="A180:B180"/>
    <mergeCell ref="C180:J184"/>
    <mergeCell ref="A185:D185"/>
    <mergeCell ref="A186:C186"/>
    <mergeCell ref="A188:A189"/>
    <mergeCell ref="B188:B189"/>
    <mergeCell ref="C188:E189"/>
    <mergeCell ref="F188:F189"/>
    <mergeCell ref="G188:G189"/>
    <mergeCell ref="H188:H189"/>
    <mergeCell ref="B190:B191"/>
    <mergeCell ref="F190:F191"/>
    <mergeCell ref="G190:G191"/>
    <mergeCell ref="C208:E209"/>
    <mergeCell ref="F208:F209"/>
    <mergeCell ref="G208:G209"/>
    <mergeCell ref="H208:H209"/>
    <mergeCell ref="A203:D203"/>
    <mergeCell ref="I206:I207"/>
    <mergeCell ref="J136:J137"/>
    <mergeCell ref="B138:B139"/>
    <mergeCell ref="C138:E139"/>
    <mergeCell ref="F138:F139"/>
    <mergeCell ref="G138:G139"/>
    <mergeCell ref="H138:H139"/>
    <mergeCell ref="J140:J141"/>
    <mergeCell ref="G134:G135"/>
    <mergeCell ref="H134:H135"/>
    <mergeCell ref="I134:I135"/>
    <mergeCell ref="J134:J135"/>
    <mergeCell ref="I138:I139"/>
    <mergeCell ref="J138:J139"/>
    <mergeCell ref="B136:B137"/>
    <mergeCell ref="C136:E137"/>
    <mergeCell ref="F136:F137"/>
    <mergeCell ref="G136:G137"/>
    <mergeCell ref="H136:H137"/>
    <mergeCell ref="I136:I137"/>
    <mergeCell ref="B142:B143"/>
    <mergeCell ref="C142:E143"/>
    <mergeCell ref="F142:F143"/>
    <mergeCell ref="G142:G143"/>
    <mergeCell ref="H142:H143"/>
    <mergeCell ref="I142:I143"/>
    <mergeCell ref="J142:J143"/>
    <mergeCell ref="B140:B141"/>
    <mergeCell ref="C140:E141"/>
    <mergeCell ref="F140:F141"/>
    <mergeCell ref="G140:G141"/>
    <mergeCell ref="H140:H141"/>
    <mergeCell ref="I140:I141"/>
    <mergeCell ref="J144:J145"/>
    <mergeCell ref="J146:J147"/>
    <mergeCell ref="I152:I153"/>
    <mergeCell ref="J148:J149"/>
    <mergeCell ref="B144:B145"/>
    <mergeCell ref="C144:E145"/>
    <mergeCell ref="F144:F145"/>
    <mergeCell ref="G144:G145"/>
    <mergeCell ref="H144:H145"/>
    <mergeCell ref="I144:I145"/>
    <mergeCell ref="B146:B147"/>
    <mergeCell ref="C146:E147"/>
    <mergeCell ref="F146:F147"/>
    <mergeCell ref="G146:G147"/>
    <mergeCell ref="H146:H147"/>
    <mergeCell ref="I146:I147"/>
    <mergeCell ref="B150:B151"/>
    <mergeCell ref="C150:E151"/>
    <mergeCell ref="F150:F151"/>
    <mergeCell ref="G150:G151"/>
    <mergeCell ref="H150:H151"/>
    <mergeCell ref="I150:I151"/>
    <mergeCell ref="J150:J151"/>
    <mergeCell ref="B148:B149"/>
    <mergeCell ref="J152:J153"/>
    <mergeCell ref="C148:E149"/>
    <mergeCell ref="F148:F149"/>
    <mergeCell ref="G148:G149"/>
    <mergeCell ref="H148:H149"/>
    <mergeCell ref="I148:I149"/>
    <mergeCell ref="B154:B155"/>
    <mergeCell ref="C152:E153"/>
    <mergeCell ref="F154:F155"/>
    <mergeCell ref="G154:G155"/>
    <mergeCell ref="H154:H155"/>
    <mergeCell ref="I154:I155"/>
    <mergeCell ref="J154:J155"/>
    <mergeCell ref="B152:B153"/>
    <mergeCell ref="C154:E155"/>
    <mergeCell ref="A161:B161"/>
    <mergeCell ref="C161:J161"/>
    <mergeCell ref="A162:B162"/>
    <mergeCell ref="C162:J166"/>
    <mergeCell ref="A169:D169"/>
    <mergeCell ref="A170:C170"/>
    <mergeCell ref="C171:E171"/>
    <mergeCell ref="A172:A173"/>
    <mergeCell ref="B172:B173"/>
    <mergeCell ref="C172:E173"/>
    <mergeCell ref="F172:F173"/>
    <mergeCell ref="G172:G173"/>
    <mergeCell ref="H172:H173"/>
    <mergeCell ref="I172:I173"/>
    <mergeCell ref="J172:J173"/>
    <mergeCell ref="B174:B175"/>
    <mergeCell ref="F174:F175"/>
    <mergeCell ref="G174:G175"/>
    <mergeCell ref="H174:H175"/>
    <mergeCell ref="I174:I175"/>
    <mergeCell ref="J174:J175"/>
    <mergeCell ref="C174:E175"/>
    <mergeCell ref="B176:B177"/>
    <mergeCell ref="F176:F177"/>
    <mergeCell ref="G176:G177"/>
    <mergeCell ref="H176:H177"/>
    <mergeCell ref="I176:I177"/>
    <mergeCell ref="J176:J177"/>
    <mergeCell ref="H190:H191"/>
    <mergeCell ref="I190:I191"/>
    <mergeCell ref="H194:H195"/>
    <mergeCell ref="I194:I195"/>
    <mergeCell ref="B192:B193"/>
    <mergeCell ref="F192:F193"/>
    <mergeCell ref="G192:G193"/>
    <mergeCell ref="I192:I193"/>
    <mergeCell ref="J192:J193"/>
    <mergeCell ref="J194:J195"/>
    <mergeCell ref="A222:C222"/>
    <mergeCell ref="C223:E223"/>
    <mergeCell ref="A224:A225"/>
    <mergeCell ref="B224:B225"/>
    <mergeCell ref="C224:E225"/>
    <mergeCell ref="F224:F225"/>
    <mergeCell ref="G224:G225"/>
    <mergeCell ref="C194:E195"/>
    <mergeCell ref="H224:H225"/>
    <mergeCell ref="A215:B215"/>
    <mergeCell ref="C215:J215"/>
    <mergeCell ref="A216:B216"/>
    <mergeCell ref="C216:J220"/>
    <mergeCell ref="J212:J213"/>
    <mergeCell ref="B210:B211"/>
    <mergeCell ref="C210:E211"/>
    <mergeCell ref="F194:F195"/>
    <mergeCell ref="G194:G195"/>
    <mergeCell ref="B212:B213"/>
    <mergeCell ref="C212:E213"/>
    <mergeCell ref="F212:F213"/>
    <mergeCell ref="G212:G213"/>
    <mergeCell ref="H212:H213"/>
    <mergeCell ref="H206:H207"/>
    <mergeCell ref="I224:I225"/>
    <mergeCell ref="J224:J225"/>
    <mergeCell ref="B226:B227"/>
    <mergeCell ref="C226:E227"/>
    <mergeCell ref="F226:F227"/>
    <mergeCell ref="G226:G227"/>
    <mergeCell ref="H226:H227"/>
    <mergeCell ref="I226:I227"/>
    <mergeCell ref="H228:H229"/>
    <mergeCell ref="I228:I229"/>
    <mergeCell ref="J226:J227"/>
    <mergeCell ref="J228:J229"/>
    <mergeCell ref="A231:B231"/>
    <mergeCell ref="C231:J231"/>
    <mergeCell ref="A232:B232"/>
    <mergeCell ref="C232:J236"/>
    <mergeCell ref="A237:D237"/>
    <mergeCell ref="B228:B229"/>
    <mergeCell ref="C228:E229"/>
    <mergeCell ref="F228:F229"/>
    <mergeCell ref="G228:G229"/>
    <mergeCell ref="A240:A241"/>
    <mergeCell ref="B240:B241"/>
    <mergeCell ref="C240:E241"/>
    <mergeCell ref="F240:F241"/>
    <mergeCell ref="B242:B243"/>
    <mergeCell ref="C242:E243"/>
    <mergeCell ref="F242:F243"/>
    <mergeCell ref="G242:G243"/>
    <mergeCell ref="H242:H243"/>
    <mergeCell ref="J242:J243"/>
    <mergeCell ref="H244:H245"/>
    <mergeCell ref="I244:I245"/>
    <mergeCell ref="G240:G241"/>
    <mergeCell ref="H240:H241"/>
    <mergeCell ref="I240:I241"/>
    <mergeCell ref="J240:J241"/>
    <mergeCell ref="J244:J245"/>
    <mergeCell ref="I242:I243"/>
    <mergeCell ref="A249:B249"/>
    <mergeCell ref="A250:B250"/>
    <mergeCell ref="C250:J256"/>
    <mergeCell ref="A257:D257"/>
    <mergeCell ref="B244:B245"/>
    <mergeCell ref="C244:E245"/>
    <mergeCell ref="F244:F245"/>
    <mergeCell ref="G244:G245"/>
    <mergeCell ref="B246:B247"/>
    <mergeCell ref="B260:B261"/>
    <mergeCell ref="C260:E261"/>
    <mergeCell ref="A267:B267"/>
    <mergeCell ref="F260:F261"/>
    <mergeCell ref="G260:G261"/>
    <mergeCell ref="H260:H261"/>
    <mergeCell ref="I260:I261"/>
    <mergeCell ref="J260:J261"/>
    <mergeCell ref="B262:B263"/>
    <mergeCell ref="F262:F263"/>
    <mergeCell ref="G262:G263"/>
    <mergeCell ref="H262:H263"/>
    <mergeCell ref="I262:I263"/>
    <mergeCell ref="J262:J263"/>
    <mergeCell ref="B264:B265"/>
    <mergeCell ref="F264:F265"/>
    <mergeCell ref="G264:G265"/>
    <mergeCell ref="H264:H265"/>
    <mergeCell ref="I264:I265"/>
    <mergeCell ref="J264:J265"/>
    <mergeCell ref="C267:J267"/>
    <mergeCell ref="A268:B268"/>
    <mergeCell ref="C268:J272"/>
    <mergeCell ref="A273:D273"/>
    <mergeCell ref="A274:C274"/>
    <mergeCell ref="A276:A277"/>
    <mergeCell ref="B276:B277"/>
    <mergeCell ref="C276:E277"/>
    <mergeCell ref="F276:F277"/>
    <mergeCell ref="G276:G277"/>
    <mergeCell ref="H276:H277"/>
    <mergeCell ref="I276:I277"/>
    <mergeCell ref="J276:J277"/>
    <mergeCell ref="J280:J281"/>
    <mergeCell ref="B278:B279"/>
    <mergeCell ref="F278:F279"/>
    <mergeCell ref="G278:G279"/>
    <mergeCell ref="H278:H279"/>
    <mergeCell ref="I278:I279"/>
    <mergeCell ref="J278:J279"/>
    <mergeCell ref="C278:E279"/>
    <mergeCell ref="G282:G283"/>
    <mergeCell ref="H282:H283"/>
    <mergeCell ref="I282:I283"/>
    <mergeCell ref="F280:F281"/>
    <mergeCell ref="G280:G281"/>
    <mergeCell ref="H280:H281"/>
    <mergeCell ref="I280:I281"/>
    <mergeCell ref="J282:J283"/>
    <mergeCell ref="B280:B281"/>
    <mergeCell ref="C280:E281"/>
    <mergeCell ref="A287:B287"/>
    <mergeCell ref="C287:J287"/>
    <mergeCell ref="A288:B288"/>
    <mergeCell ref="C288:J294"/>
    <mergeCell ref="B282:B283"/>
    <mergeCell ref="C282:E283"/>
    <mergeCell ref="F282:F283"/>
    <mergeCell ref="A295:D295"/>
    <mergeCell ref="B284:B285"/>
    <mergeCell ref="F284:F285"/>
    <mergeCell ref="G284:G285"/>
    <mergeCell ref="I284:I285"/>
    <mergeCell ref="J284:J285"/>
    <mergeCell ref="A296:C296"/>
    <mergeCell ref="C297:E297"/>
    <mergeCell ref="A298:A299"/>
    <mergeCell ref="B298:B299"/>
    <mergeCell ref="C298:E299"/>
    <mergeCell ref="F298:F299"/>
    <mergeCell ref="B300:B301"/>
    <mergeCell ref="C300:E301"/>
    <mergeCell ref="F300:F301"/>
    <mergeCell ref="G300:G301"/>
    <mergeCell ref="H300:H301"/>
    <mergeCell ref="I300:I301"/>
    <mergeCell ref="G298:G299"/>
    <mergeCell ref="H298:H299"/>
    <mergeCell ref="I298:I299"/>
    <mergeCell ref="J298:J299"/>
    <mergeCell ref="F344:F345"/>
    <mergeCell ref="F346:F347"/>
    <mergeCell ref="H344:H345"/>
    <mergeCell ref="H346:H347"/>
    <mergeCell ref="I344:I345"/>
    <mergeCell ref="I346:I347"/>
    <mergeCell ref="F302:F303"/>
    <mergeCell ref="G302:G303"/>
    <mergeCell ref="H302:H303"/>
    <mergeCell ref="I302:I303"/>
    <mergeCell ref="J300:J301"/>
    <mergeCell ref="I326:I327"/>
    <mergeCell ref="I330:I331"/>
    <mergeCell ref="J330:J331"/>
    <mergeCell ref="I324:I325"/>
    <mergeCell ref="J324:J325"/>
    <mergeCell ref="F332:F333"/>
    <mergeCell ref="H348:H349"/>
    <mergeCell ref="I348:I349"/>
    <mergeCell ref="J344:J345"/>
    <mergeCell ref="J346:J347"/>
    <mergeCell ref="J302:J303"/>
    <mergeCell ref="B304:B305"/>
    <mergeCell ref="F304:F305"/>
    <mergeCell ref="G304:G305"/>
    <mergeCell ref="H304:H305"/>
    <mergeCell ref="J306:J307"/>
    <mergeCell ref="I304:I305"/>
    <mergeCell ref="J304:J305"/>
    <mergeCell ref="B302:B303"/>
    <mergeCell ref="C302:E303"/>
    <mergeCell ref="F308:F309"/>
    <mergeCell ref="G308:G309"/>
    <mergeCell ref="H308:H309"/>
    <mergeCell ref="I308:I309"/>
    <mergeCell ref="F306:F307"/>
    <mergeCell ref="G306:G307"/>
    <mergeCell ref="H306:H307"/>
    <mergeCell ref="I306:I307"/>
    <mergeCell ref="J308:J309"/>
    <mergeCell ref="B306:B307"/>
    <mergeCell ref="B308:B309"/>
    <mergeCell ref="C308:E309"/>
    <mergeCell ref="J348:J349"/>
    <mergeCell ref="H312:H313"/>
    <mergeCell ref="I312:I313"/>
    <mergeCell ref="B310:B311"/>
    <mergeCell ref="C310:E311"/>
    <mergeCell ref="F310:F311"/>
    <mergeCell ref="G310:G311"/>
    <mergeCell ref="H310:H311"/>
    <mergeCell ref="I310:I311"/>
    <mergeCell ref="J310:J311"/>
    <mergeCell ref="J312:J313"/>
    <mergeCell ref="A315:B315"/>
    <mergeCell ref="C315:J315"/>
    <mergeCell ref="A316:B316"/>
    <mergeCell ref="C316:J320"/>
    <mergeCell ref="A321:D321"/>
    <mergeCell ref="B312:B313"/>
    <mergeCell ref="C312:E313"/>
    <mergeCell ref="F312:F313"/>
    <mergeCell ref="G312:G313"/>
    <mergeCell ref="A322:C322"/>
    <mergeCell ref="C323:E323"/>
    <mergeCell ref="J326:J327"/>
    <mergeCell ref="B330:B331"/>
    <mergeCell ref="C330:E331"/>
    <mergeCell ref="F330:F331"/>
    <mergeCell ref="G330:G331"/>
    <mergeCell ref="H330:H331"/>
    <mergeCell ref="J332:J333"/>
    <mergeCell ref="A324:A325"/>
    <mergeCell ref="B324:B325"/>
    <mergeCell ref="C324:E325"/>
    <mergeCell ref="F324:F325"/>
    <mergeCell ref="B326:B327"/>
    <mergeCell ref="C326:E327"/>
    <mergeCell ref="F326:F327"/>
    <mergeCell ref="G326:G327"/>
    <mergeCell ref="H326:H327"/>
    <mergeCell ref="G324:G325"/>
    <mergeCell ref="H324:H325"/>
    <mergeCell ref="B334:B335"/>
    <mergeCell ref="C334:E335"/>
    <mergeCell ref="F334:F335"/>
    <mergeCell ref="G334:G335"/>
    <mergeCell ref="H334:H335"/>
    <mergeCell ref="I334:I335"/>
    <mergeCell ref="J334:J335"/>
    <mergeCell ref="B332:B333"/>
    <mergeCell ref="C332:E333"/>
    <mergeCell ref="G332:G333"/>
    <mergeCell ref="H332:H333"/>
    <mergeCell ref="I332:I333"/>
    <mergeCell ref="I338:I339"/>
    <mergeCell ref="J338:J339"/>
    <mergeCell ref="B336:B337"/>
    <mergeCell ref="C336:E337"/>
    <mergeCell ref="F336:F337"/>
    <mergeCell ref="G336:G337"/>
    <mergeCell ref="H336:H337"/>
    <mergeCell ref="I336:I337"/>
    <mergeCell ref="F340:F341"/>
    <mergeCell ref="G340:G341"/>
    <mergeCell ref="H340:H341"/>
    <mergeCell ref="I340:I341"/>
    <mergeCell ref="J336:J337"/>
    <mergeCell ref="B338:B339"/>
    <mergeCell ref="C338:E339"/>
    <mergeCell ref="F338:F339"/>
    <mergeCell ref="G338:G339"/>
    <mergeCell ref="H338:H339"/>
    <mergeCell ref="J340:J341"/>
    <mergeCell ref="B342:B343"/>
    <mergeCell ref="C342:E343"/>
    <mergeCell ref="F342:F343"/>
    <mergeCell ref="G342:G343"/>
    <mergeCell ref="H342:H343"/>
    <mergeCell ref="I342:I343"/>
    <mergeCell ref="J342:J343"/>
    <mergeCell ref="B340:B341"/>
    <mergeCell ref="C340:E341"/>
    <mergeCell ref="F362:F363"/>
    <mergeCell ref="G362:G363"/>
    <mergeCell ref="H362:H363"/>
    <mergeCell ref="I362:I363"/>
    <mergeCell ref="J362:J363"/>
    <mergeCell ref="B364:B365"/>
    <mergeCell ref="C364:E365"/>
    <mergeCell ref="F364:F365"/>
    <mergeCell ref="G364:G365"/>
    <mergeCell ref="H364:H365"/>
    <mergeCell ref="I364:I365"/>
    <mergeCell ref="J364:J365"/>
    <mergeCell ref="A367:B367"/>
    <mergeCell ref="C367:J367"/>
    <mergeCell ref="A368:B368"/>
    <mergeCell ref="C368:J375"/>
    <mergeCell ref="A376:D376"/>
    <mergeCell ref="A377:C377"/>
    <mergeCell ref="C378:E378"/>
    <mergeCell ref="A379:A380"/>
    <mergeCell ref="B379:B380"/>
    <mergeCell ref="C379:E380"/>
    <mergeCell ref="F379:F380"/>
    <mergeCell ref="G379:G380"/>
    <mergeCell ref="J379:J380"/>
    <mergeCell ref="H379:H380"/>
    <mergeCell ref="I379:I380"/>
    <mergeCell ref="B381:B382"/>
    <mergeCell ref="C381:E382"/>
    <mergeCell ref="F381:F382"/>
    <mergeCell ref="G381:G382"/>
    <mergeCell ref="H381:H382"/>
    <mergeCell ref="I381:I382"/>
    <mergeCell ref="J381:J382"/>
    <mergeCell ref="F383:F384"/>
    <mergeCell ref="G383:G384"/>
    <mergeCell ref="H383:H384"/>
    <mergeCell ref="I383:I384"/>
    <mergeCell ref="J383:J384"/>
    <mergeCell ref="B385:B386"/>
    <mergeCell ref="C385:E386"/>
    <mergeCell ref="F385:F386"/>
    <mergeCell ref="G385:G386"/>
    <mergeCell ref="H385:H386"/>
    <mergeCell ref="I385:I386"/>
    <mergeCell ref="J385:J386"/>
    <mergeCell ref="B383:B384"/>
    <mergeCell ref="C383:E384"/>
    <mergeCell ref="B391:B392"/>
    <mergeCell ref="C391:E392"/>
    <mergeCell ref="F391:F392"/>
    <mergeCell ref="G391:G392"/>
    <mergeCell ref="H391:H392"/>
    <mergeCell ref="I391:I392"/>
    <mergeCell ref="H395:H396"/>
    <mergeCell ref="I395:I396"/>
    <mergeCell ref="J391:J392"/>
    <mergeCell ref="B393:B394"/>
    <mergeCell ref="C393:E394"/>
    <mergeCell ref="F393:F394"/>
    <mergeCell ref="G393:G394"/>
    <mergeCell ref="H393:H394"/>
    <mergeCell ref="I393:I394"/>
    <mergeCell ref="J393:J394"/>
    <mergeCell ref="J395:J396"/>
    <mergeCell ref="A398:B398"/>
    <mergeCell ref="C398:J398"/>
    <mergeCell ref="A399:B399"/>
    <mergeCell ref="C399:J403"/>
    <mergeCell ref="A404:D404"/>
    <mergeCell ref="B395:B396"/>
    <mergeCell ref="C395:E396"/>
    <mergeCell ref="F395:F396"/>
    <mergeCell ref="G395:G396"/>
    <mergeCell ref="A405:C405"/>
    <mergeCell ref="C406:E406"/>
    <mergeCell ref="A407:A408"/>
    <mergeCell ref="B407:B408"/>
    <mergeCell ref="C407:E408"/>
    <mergeCell ref="F407:F408"/>
    <mergeCell ref="G407:G408"/>
    <mergeCell ref="H407:H408"/>
    <mergeCell ref="I407:I408"/>
    <mergeCell ref="J407:J408"/>
    <mergeCell ref="B409:B410"/>
    <mergeCell ref="C409:E410"/>
    <mergeCell ref="F409:F410"/>
    <mergeCell ref="G409:G410"/>
    <mergeCell ref="H409:H410"/>
    <mergeCell ref="I409:I410"/>
    <mergeCell ref="J409:J410"/>
    <mergeCell ref="A412:B412"/>
    <mergeCell ref="C412:J412"/>
    <mergeCell ref="A413:B413"/>
    <mergeCell ref="C413:J417"/>
    <mergeCell ref="A418:D418"/>
    <mergeCell ref="A419:C419"/>
    <mergeCell ref="C420:E420"/>
    <mergeCell ref="A421:A422"/>
    <mergeCell ref="B421:B422"/>
    <mergeCell ref="C421:E422"/>
    <mergeCell ref="F421:F422"/>
    <mergeCell ref="G421:G422"/>
    <mergeCell ref="H421:H422"/>
    <mergeCell ref="I421:I422"/>
    <mergeCell ref="J421:J422"/>
    <mergeCell ref="B423:B424"/>
    <mergeCell ref="C423:E424"/>
    <mergeCell ref="F423:F424"/>
    <mergeCell ref="G423:G424"/>
    <mergeCell ref="H423:H424"/>
    <mergeCell ref="I423:I424"/>
    <mergeCell ref="J423:J424"/>
    <mergeCell ref="B425:B426"/>
    <mergeCell ref="C425:E426"/>
    <mergeCell ref="F425:F426"/>
    <mergeCell ref="G425:G426"/>
    <mergeCell ref="H425:H426"/>
    <mergeCell ref="I425:I426"/>
    <mergeCell ref="J425:J426"/>
    <mergeCell ref="A428:B428"/>
    <mergeCell ref="C428:J428"/>
    <mergeCell ref="A429:B429"/>
    <mergeCell ref="C429:J433"/>
    <mergeCell ref="A434:D434"/>
    <mergeCell ref="A435:C435"/>
    <mergeCell ref="I439:I440"/>
    <mergeCell ref="J439:J440"/>
    <mergeCell ref="C436:E436"/>
    <mergeCell ref="A437:A438"/>
    <mergeCell ref="B437:B438"/>
    <mergeCell ref="C437:E438"/>
    <mergeCell ref="F437:F438"/>
    <mergeCell ref="G437:G438"/>
    <mergeCell ref="H437:H438"/>
    <mergeCell ref="I437:I438"/>
    <mergeCell ref="J437:J438"/>
    <mergeCell ref="B439:B440"/>
    <mergeCell ref="C439:E440"/>
    <mergeCell ref="F439:F440"/>
    <mergeCell ref="G439:G440"/>
    <mergeCell ref="H439:H440"/>
    <mergeCell ref="J441:J442"/>
    <mergeCell ref="A443:J443"/>
    <mergeCell ref="A445:B445"/>
    <mergeCell ref="C445:J445"/>
    <mergeCell ref="A446:D446"/>
    <mergeCell ref="A447:C447"/>
    <mergeCell ref="B441:B442"/>
    <mergeCell ref="C441:E442"/>
    <mergeCell ref="F441:F442"/>
    <mergeCell ref="G441:G442"/>
    <mergeCell ref="H441:H442"/>
    <mergeCell ref="I441:I442"/>
    <mergeCell ref="A449:A450"/>
    <mergeCell ref="B449:B450"/>
    <mergeCell ref="C449:E450"/>
    <mergeCell ref="F449:F450"/>
    <mergeCell ref="G449:G450"/>
    <mergeCell ref="J449:J450"/>
    <mergeCell ref="J451:J452"/>
    <mergeCell ref="J453:J454"/>
    <mergeCell ref="B451:B452"/>
    <mergeCell ref="C451:E452"/>
    <mergeCell ref="F451:F452"/>
    <mergeCell ref="G451:G452"/>
    <mergeCell ref="H451:H452"/>
    <mergeCell ref="I451:I452"/>
    <mergeCell ref="I449:I450"/>
    <mergeCell ref="H449:H450"/>
    <mergeCell ref="H458:H459"/>
    <mergeCell ref="B456:B457"/>
    <mergeCell ref="C456:E457"/>
    <mergeCell ref="F456:F457"/>
    <mergeCell ref="G456:G457"/>
    <mergeCell ref="H456:H457"/>
    <mergeCell ref="C448:E448"/>
    <mergeCell ref="C453:E454"/>
    <mergeCell ref="I460:I461"/>
    <mergeCell ref="J460:J461"/>
    <mergeCell ref="B458:B459"/>
    <mergeCell ref="C458:E459"/>
    <mergeCell ref="F458:F459"/>
    <mergeCell ref="G458:G459"/>
    <mergeCell ref="B460:B461"/>
    <mergeCell ref="C460:E461"/>
    <mergeCell ref="F460:F461"/>
    <mergeCell ref="G460:G461"/>
    <mergeCell ref="H460:H461"/>
    <mergeCell ref="I456:I457"/>
    <mergeCell ref="F453:F454"/>
    <mergeCell ref="G453:G454"/>
    <mergeCell ref="H453:H454"/>
    <mergeCell ref="I453:I454"/>
    <mergeCell ref="J156:J157"/>
    <mergeCell ref="I458:I459"/>
    <mergeCell ref="F156:F157"/>
    <mergeCell ref="G156:G157"/>
    <mergeCell ref="H156:H157"/>
    <mergeCell ref="I156:I157"/>
    <mergeCell ref="B156:B157"/>
    <mergeCell ref="C156:E157"/>
    <mergeCell ref="B59:B60"/>
    <mergeCell ref="C59:E60"/>
    <mergeCell ref="F59:F60"/>
    <mergeCell ref="G59:G60"/>
    <mergeCell ref="F152:F153"/>
    <mergeCell ref="G152:G153"/>
    <mergeCell ref="H152:H153"/>
    <mergeCell ref="C246:E247"/>
    <mergeCell ref="F246:F247"/>
    <mergeCell ref="G246:G247"/>
    <mergeCell ref="H246:H247"/>
    <mergeCell ref="I246:I247"/>
    <mergeCell ref="J246:J247"/>
    <mergeCell ref="J458:J459"/>
    <mergeCell ref="J456:J457"/>
    <mergeCell ref="B453:B454"/>
  </mergeCells>
  <pageMargins left="0.25" right="0.25" top="0.75" bottom="0.75"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SheetLayoutView="100" workbookViewId="0">
      <selection activeCell="F31" sqref="F31"/>
    </sheetView>
  </sheetViews>
  <sheetFormatPr defaultRowHeight="12.75" x14ac:dyDescent="0.2"/>
  <cols>
    <col min="1" max="1" width="10.28515625" style="1" customWidth="1"/>
    <col min="2" max="2" width="44.140625" style="1" customWidth="1"/>
    <col min="3" max="3" width="11.28515625" style="1" customWidth="1"/>
    <col min="4" max="6" width="11.140625" style="1" bestFit="1" customWidth="1"/>
    <col min="7" max="7" width="11.140625" style="1" customWidth="1"/>
    <col min="8" max="8" width="10.140625" style="1" customWidth="1"/>
    <col min="9" max="16384" width="9.140625" style="1"/>
  </cols>
  <sheetData>
    <row r="1" spans="1:8" x14ac:dyDescent="0.2">
      <c r="A1" s="250" t="s">
        <v>0</v>
      </c>
      <c r="B1" s="250"/>
      <c r="C1" s="250"/>
      <c r="D1" s="250"/>
      <c r="E1" s="250"/>
      <c r="F1" s="250"/>
      <c r="G1" s="250"/>
    </row>
    <row r="2" spans="1:8" ht="12.75" customHeight="1" x14ac:dyDescent="0.2">
      <c r="A2" s="251" t="s">
        <v>277</v>
      </c>
      <c r="B2" s="251"/>
      <c r="C2" s="251"/>
      <c r="D2" s="251"/>
      <c r="E2" s="251"/>
      <c r="F2" s="251"/>
      <c r="G2" s="251"/>
    </row>
    <row r="3" spans="1:8" x14ac:dyDescent="0.2">
      <c r="A3" s="251" t="s">
        <v>42</v>
      </c>
      <c r="B3" s="251"/>
      <c r="C3" s="251"/>
      <c r="D3" s="251"/>
      <c r="E3" s="251"/>
      <c r="F3" s="251"/>
      <c r="G3" s="251"/>
    </row>
    <row r="4" spans="1:8" ht="25.5" x14ac:dyDescent="0.2">
      <c r="A4" s="84" t="s">
        <v>43</v>
      </c>
      <c r="B4" s="4" t="s">
        <v>44</v>
      </c>
      <c r="C4" s="4">
        <v>2026</v>
      </c>
      <c r="D4" s="4">
        <v>2027</v>
      </c>
      <c r="E4" s="4">
        <v>2028</v>
      </c>
      <c r="F4" s="4">
        <v>2029</v>
      </c>
      <c r="G4" s="85" t="s">
        <v>7</v>
      </c>
    </row>
    <row r="5" spans="1:8" x14ac:dyDescent="0.2">
      <c r="A5" s="86">
        <v>1</v>
      </c>
      <c r="B5" s="67" t="s">
        <v>3</v>
      </c>
      <c r="C5" s="87">
        <f>'Anexo I - Programas'!F11</f>
        <v>1100000</v>
      </c>
      <c r="D5" s="87">
        <f>'Anexo I - Programas'!G11</f>
        <v>800000</v>
      </c>
      <c r="E5" s="87">
        <f>'Anexo I - Programas'!H11</f>
        <v>850000</v>
      </c>
      <c r="F5" s="87">
        <f>'Anexo I - Programas'!I11</f>
        <v>900000</v>
      </c>
      <c r="G5" s="88">
        <f t="shared" ref="G5:G25" si="0">C5+D5+E5+F5</f>
        <v>3650000</v>
      </c>
    </row>
    <row r="6" spans="1:8" x14ac:dyDescent="0.2">
      <c r="A6" s="86">
        <v>2</v>
      </c>
      <c r="B6" s="67" t="s">
        <v>45</v>
      </c>
      <c r="C6" s="87">
        <f>'Anexo I - Programas'!F25</f>
        <v>1182000</v>
      </c>
      <c r="D6" s="87">
        <f>'Anexo I - Programas'!G25</f>
        <v>1102000</v>
      </c>
      <c r="E6" s="87">
        <f>'Anexo I - Programas'!H25</f>
        <v>1122000</v>
      </c>
      <c r="F6" s="87">
        <f>'Anexo I - Programas'!I25</f>
        <v>1092000</v>
      </c>
      <c r="G6" s="88">
        <f t="shared" si="0"/>
        <v>4498000</v>
      </c>
    </row>
    <row r="7" spans="1:8" x14ac:dyDescent="0.2">
      <c r="A7" s="86">
        <v>4</v>
      </c>
      <c r="B7" s="67" t="s">
        <v>46</v>
      </c>
      <c r="C7" s="87">
        <f>'Anexo I - Programas'!F43</f>
        <v>15295000</v>
      </c>
      <c r="D7" s="87">
        <f>'Anexo I - Programas'!G43</f>
        <v>15770000</v>
      </c>
      <c r="E7" s="87">
        <f>'Anexo I - Programas'!H43</f>
        <v>16245000</v>
      </c>
      <c r="F7" s="87">
        <f>'Anexo I - Programas'!I43</f>
        <v>16720000</v>
      </c>
      <c r="G7" s="88">
        <f t="shared" si="0"/>
        <v>64030000</v>
      </c>
    </row>
    <row r="8" spans="1:8" x14ac:dyDescent="0.2">
      <c r="A8" s="86">
        <v>5</v>
      </c>
      <c r="B8" s="67" t="s">
        <v>47</v>
      </c>
      <c r="C8" s="87">
        <f>'Anexo I - Programas'!F69</f>
        <v>1322500</v>
      </c>
      <c r="D8" s="87">
        <f>'Anexo I - Programas'!G69</f>
        <v>817500</v>
      </c>
      <c r="E8" s="87">
        <f>'Anexo I - Programas'!H69</f>
        <v>697500</v>
      </c>
      <c r="F8" s="87">
        <f>'Anexo I - Programas'!I69</f>
        <v>717500</v>
      </c>
      <c r="G8" s="88">
        <f t="shared" si="0"/>
        <v>3555000</v>
      </c>
    </row>
    <row r="9" spans="1:8" x14ac:dyDescent="0.2">
      <c r="A9" s="86">
        <v>6</v>
      </c>
      <c r="B9" s="67" t="s">
        <v>48</v>
      </c>
      <c r="C9" s="87">
        <f>'Anexo I - Programas'!F97</f>
        <v>1150000</v>
      </c>
      <c r="D9" s="87">
        <f>'Anexo I - Programas'!G97</f>
        <v>1200000</v>
      </c>
      <c r="E9" s="87">
        <f>'Anexo I - Programas'!H97</f>
        <v>1250000</v>
      </c>
      <c r="F9" s="87">
        <f>'Anexo I - Programas'!I97</f>
        <v>1300000</v>
      </c>
      <c r="G9" s="88">
        <f t="shared" si="0"/>
        <v>4900000</v>
      </c>
    </row>
    <row r="10" spans="1:8" x14ac:dyDescent="0.2">
      <c r="A10" s="86">
        <v>7</v>
      </c>
      <c r="B10" s="67" t="s">
        <v>49</v>
      </c>
      <c r="C10" s="87">
        <f>'Anexo I - Programas'!F112</f>
        <v>2760000</v>
      </c>
      <c r="D10" s="87">
        <f>'Anexo I - Programas'!G112</f>
        <v>2810000</v>
      </c>
      <c r="E10" s="87">
        <f>'Anexo I - Programas'!H112</f>
        <v>2860000</v>
      </c>
      <c r="F10" s="87">
        <f>'Anexo I - Programas'!I112</f>
        <v>2910000</v>
      </c>
      <c r="G10" s="88">
        <f t="shared" si="0"/>
        <v>11340000</v>
      </c>
    </row>
    <row r="11" spans="1:8" x14ac:dyDescent="0.2">
      <c r="A11" s="86">
        <v>8</v>
      </c>
      <c r="B11" s="67" t="s">
        <v>50</v>
      </c>
      <c r="C11" s="87">
        <f>'Anexo I - Programas'!F204</f>
        <v>3980000</v>
      </c>
      <c r="D11" s="87">
        <f>'Anexo I - Programas'!G204</f>
        <v>4050000</v>
      </c>
      <c r="E11" s="87">
        <f>'Anexo I - Programas'!H204</f>
        <v>4180000</v>
      </c>
      <c r="F11" s="87">
        <f>'Anexo I - Programas'!I204</f>
        <v>4360000</v>
      </c>
      <c r="G11" s="88">
        <f t="shared" si="0"/>
        <v>16570000</v>
      </c>
    </row>
    <row r="12" spans="1:8" x14ac:dyDescent="0.2">
      <c r="A12" s="86">
        <v>9</v>
      </c>
      <c r="B12" s="67" t="s">
        <v>51</v>
      </c>
      <c r="C12" s="87">
        <f>'Anexo I - Programas'!F130</f>
        <v>45140000</v>
      </c>
      <c r="D12" s="87">
        <f>'Anexo I - Programas'!G130</f>
        <v>46910000</v>
      </c>
      <c r="E12" s="87">
        <f>'Anexo I - Programas'!H130</f>
        <v>49380000</v>
      </c>
      <c r="F12" s="87">
        <f>'Anexo I - Programas'!I130</f>
        <v>50970000</v>
      </c>
      <c r="G12" s="88">
        <f t="shared" si="0"/>
        <v>192400000</v>
      </c>
      <c r="H12" s="19"/>
    </row>
    <row r="13" spans="1:8" x14ac:dyDescent="0.2">
      <c r="A13" s="86">
        <v>10</v>
      </c>
      <c r="B13" s="67" t="s">
        <v>52</v>
      </c>
      <c r="C13" s="87">
        <f>'Anexo I - Programas'!F170</f>
        <v>1020000</v>
      </c>
      <c r="D13" s="87">
        <f>'Anexo I - Programas'!G170</f>
        <v>1040000</v>
      </c>
      <c r="E13" s="87">
        <f>'Anexo I - Programas'!H170</f>
        <v>1060000</v>
      </c>
      <c r="F13" s="87">
        <f>'Anexo I - Programas'!I170</f>
        <v>1080000</v>
      </c>
      <c r="G13" s="88">
        <f t="shared" si="0"/>
        <v>4200000</v>
      </c>
    </row>
    <row r="14" spans="1:8" x14ac:dyDescent="0.2">
      <c r="A14" s="86">
        <v>11</v>
      </c>
      <c r="B14" s="67" t="s">
        <v>53</v>
      </c>
      <c r="C14" s="87">
        <f>'Anexo I - Programas'!F186</f>
        <v>2670000</v>
      </c>
      <c r="D14" s="87">
        <f>'Anexo I - Programas'!G186</f>
        <v>2740000</v>
      </c>
      <c r="E14" s="87">
        <f>'Anexo I - Programas'!H186</f>
        <v>2810000</v>
      </c>
      <c r="F14" s="87">
        <f>'Anexo I - Programas'!I186</f>
        <v>2880000</v>
      </c>
      <c r="G14" s="88">
        <f t="shared" si="0"/>
        <v>11100000</v>
      </c>
    </row>
    <row r="15" spans="1:8" x14ac:dyDescent="0.2">
      <c r="A15" s="86">
        <v>12</v>
      </c>
      <c r="B15" s="67" t="s">
        <v>54</v>
      </c>
      <c r="C15" s="87">
        <f>'Anexo I - Programas'!F222</f>
        <v>1477000</v>
      </c>
      <c r="D15" s="87">
        <f>'Anexo I - Programas'!G222</f>
        <v>1487000</v>
      </c>
      <c r="E15" s="87">
        <f>'Anexo I - Programas'!H222</f>
        <v>1497000</v>
      </c>
      <c r="F15" s="87">
        <f>'Anexo I - Programas'!I222</f>
        <v>1507000</v>
      </c>
      <c r="G15" s="88">
        <f t="shared" si="0"/>
        <v>5968000</v>
      </c>
    </row>
    <row r="16" spans="1:8" x14ac:dyDescent="0.2">
      <c r="A16" s="86">
        <v>13</v>
      </c>
      <c r="B16" s="67" t="s">
        <v>55</v>
      </c>
      <c r="C16" s="87">
        <f>'Anexo I - Programas'!F238</f>
        <v>3800000</v>
      </c>
      <c r="D16" s="87">
        <f>'Anexo I - Programas'!G238</f>
        <v>4010000</v>
      </c>
      <c r="E16" s="87">
        <f>'Anexo I - Programas'!H238</f>
        <v>4120000</v>
      </c>
      <c r="F16" s="87">
        <f>'Anexo I - Programas'!I238</f>
        <v>4230000</v>
      </c>
      <c r="G16" s="88">
        <f>C16+D16+E16+F16</f>
        <v>16160000</v>
      </c>
    </row>
    <row r="17" spans="1:8" x14ac:dyDescent="0.2">
      <c r="A17" s="86">
        <v>14</v>
      </c>
      <c r="B17" s="67" t="s">
        <v>56</v>
      </c>
      <c r="C17" s="87">
        <f>'Anexo I - Programas'!F258</f>
        <v>8750000</v>
      </c>
      <c r="D17" s="87">
        <f>'Anexo I - Programas'!G258</f>
        <v>7800000</v>
      </c>
      <c r="E17" s="87">
        <f>'Anexo I - Programas'!H258</f>
        <v>7850000</v>
      </c>
      <c r="F17" s="87">
        <f>'Anexo I - Programas'!I258</f>
        <v>3900000</v>
      </c>
      <c r="G17" s="88">
        <f t="shared" si="0"/>
        <v>28300000</v>
      </c>
    </row>
    <row r="18" spans="1:8" x14ac:dyDescent="0.2">
      <c r="A18" s="86">
        <v>15</v>
      </c>
      <c r="B18" s="67" t="s">
        <v>57</v>
      </c>
      <c r="C18" s="87">
        <f>'Anexo I - Programas'!F274</f>
        <v>2900000</v>
      </c>
      <c r="D18" s="87">
        <f>'Anexo I - Programas'!G274</f>
        <v>3150000</v>
      </c>
      <c r="E18" s="87">
        <f>'Anexo I - Programas'!H274</f>
        <v>3400000</v>
      </c>
      <c r="F18" s="87">
        <f>'Anexo I - Programas'!I274</f>
        <v>3650000</v>
      </c>
      <c r="G18" s="88">
        <f t="shared" si="0"/>
        <v>13100000</v>
      </c>
    </row>
    <row r="19" spans="1:8" x14ac:dyDescent="0.2">
      <c r="A19" s="86">
        <v>16</v>
      </c>
      <c r="B19" s="68" t="s">
        <v>58</v>
      </c>
      <c r="C19" s="87">
        <f>'Anexo I - Programas'!F296</f>
        <v>4514000</v>
      </c>
      <c r="D19" s="87">
        <f>'Anexo I - Programas'!G296</f>
        <v>4644000</v>
      </c>
      <c r="E19" s="87">
        <f>'Anexo I - Programas'!H296</f>
        <v>4854000</v>
      </c>
      <c r="F19" s="87">
        <f>'Anexo I - Programas'!I296</f>
        <v>5094000</v>
      </c>
      <c r="G19" s="88">
        <f t="shared" si="0"/>
        <v>19106000</v>
      </c>
    </row>
    <row r="20" spans="1:8" x14ac:dyDescent="0.2">
      <c r="A20" s="86">
        <v>17</v>
      </c>
      <c r="B20" s="67" t="s">
        <v>59</v>
      </c>
      <c r="C20" s="87">
        <f>'Anexo I - Programas'!F322</f>
        <v>26713000</v>
      </c>
      <c r="D20" s="87">
        <f>'Anexo I - Programas'!G322</f>
        <v>28386000</v>
      </c>
      <c r="E20" s="87">
        <f>'Anexo I - Programas'!H322</f>
        <v>30059000</v>
      </c>
      <c r="F20" s="87">
        <f>'Anexo I - Programas'!I322</f>
        <v>31182000</v>
      </c>
      <c r="G20" s="88">
        <f t="shared" si="0"/>
        <v>116340000</v>
      </c>
    </row>
    <row r="21" spans="1:8" x14ac:dyDescent="0.2">
      <c r="A21" s="86">
        <v>18</v>
      </c>
      <c r="B21" s="67" t="s">
        <v>60</v>
      </c>
      <c r="C21" s="87">
        <f>'Anexo I - Programas'!F377</f>
        <v>1929000</v>
      </c>
      <c r="D21" s="87">
        <f>'Anexo I - Programas'!G377</f>
        <v>1861000</v>
      </c>
      <c r="E21" s="87">
        <f>'Anexo I - Programas'!H377</f>
        <v>1797000</v>
      </c>
      <c r="F21" s="87">
        <f>'Anexo I - Programas'!I377</f>
        <v>1789000</v>
      </c>
      <c r="G21" s="88">
        <f t="shared" si="0"/>
        <v>7376000</v>
      </c>
    </row>
    <row r="22" spans="1:8" x14ac:dyDescent="0.2">
      <c r="A22" s="86">
        <v>19</v>
      </c>
      <c r="B22" s="87" t="s">
        <v>33</v>
      </c>
      <c r="C22" s="87">
        <f>'Anexo I - Programas'!F360</f>
        <v>5000</v>
      </c>
      <c r="D22" s="87">
        <f>'Anexo I - Programas'!G360</f>
        <v>5000</v>
      </c>
      <c r="E22" s="87">
        <f>'Anexo I - Programas'!H360</f>
        <v>5000</v>
      </c>
      <c r="F22" s="87">
        <f>'Anexo I - Programas'!I360</f>
        <v>5000</v>
      </c>
      <c r="G22" s="88">
        <f t="shared" si="0"/>
        <v>20000</v>
      </c>
    </row>
    <row r="23" spans="1:8" x14ac:dyDescent="0.2">
      <c r="A23" s="86">
        <v>20</v>
      </c>
      <c r="B23" s="67" t="s">
        <v>61</v>
      </c>
      <c r="C23" s="87">
        <f>'Anexo I - Programas'!F405</f>
        <v>4900000</v>
      </c>
      <c r="D23" s="87">
        <f>'Anexo I - Programas'!G405</f>
        <v>5530000</v>
      </c>
      <c r="E23" s="87">
        <f>'Anexo I - Programas'!H405</f>
        <v>5590000</v>
      </c>
      <c r="F23" s="87">
        <f>'Anexo I - Programas'!I405</f>
        <v>5790000</v>
      </c>
      <c r="G23" s="88">
        <f>C23+D23+E23+F23</f>
        <v>21810000</v>
      </c>
    </row>
    <row r="24" spans="1:8" ht="13.5" customHeight="1" x14ac:dyDescent="0.2">
      <c r="A24" s="86">
        <v>21</v>
      </c>
      <c r="B24" s="67" t="s">
        <v>62</v>
      </c>
      <c r="C24" s="87">
        <f>'Anexo I - Programas'!F419</f>
        <v>9300000</v>
      </c>
      <c r="D24" s="87">
        <f>'Anexo I - Programas'!G419</f>
        <v>9070000</v>
      </c>
      <c r="E24" s="87">
        <f>'Anexo I - Programas'!H419</f>
        <v>9110000</v>
      </c>
      <c r="F24" s="87">
        <f>'Anexo I - Programas'!I419</f>
        <v>9210000</v>
      </c>
      <c r="G24" s="88">
        <f t="shared" si="0"/>
        <v>36690000</v>
      </c>
      <c r="H24" s="19"/>
    </row>
    <row r="25" spans="1:8" x14ac:dyDescent="0.2">
      <c r="A25" s="86">
        <v>22</v>
      </c>
      <c r="B25" s="67" t="s">
        <v>63</v>
      </c>
      <c r="C25" s="87">
        <f>'Anexo I - Programas'!F435</f>
        <v>8900000</v>
      </c>
      <c r="D25" s="87">
        <f>'Anexo I - Programas'!G435</f>
        <v>9420000</v>
      </c>
      <c r="E25" s="87">
        <f>'Anexo I - Programas'!H435</f>
        <v>9960000</v>
      </c>
      <c r="F25" s="87">
        <f>'Anexo I - Programas'!I435</f>
        <v>10500000</v>
      </c>
      <c r="G25" s="88">
        <f t="shared" si="0"/>
        <v>38780000</v>
      </c>
    </row>
    <row r="26" spans="1:8" x14ac:dyDescent="0.2">
      <c r="A26" s="86"/>
      <c r="B26" s="66"/>
      <c r="C26" s="66"/>
      <c r="D26" s="66"/>
      <c r="E26" s="66"/>
      <c r="F26" s="66"/>
      <c r="G26" s="136"/>
    </row>
    <row r="27" spans="1:8" ht="13.5" customHeight="1" thickBot="1" x14ac:dyDescent="0.25">
      <c r="A27" s="252" t="s">
        <v>64</v>
      </c>
      <c r="B27" s="252"/>
      <c r="C27" s="137">
        <f>SUM(C5:C26)</f>
        <v>148807500</v>
      </c>
      <c r="D27" s="137">
        <f>SUM(D5:D26)</f>
        <v>152602500</v>
      </c>
      <c r="E27" s="137">
        <f>SUM(E5:E26)</f>
        <v>158696500</v>
      </c>
      <c r="F27" s="137">
        <f>SUM(F5:F26)</f>
        <v>159786500</v>
      </c>
      <c r="G27" s="138">
        <f>C27+D27+E27+F27</f>
        <v>619893000</v>
      </c>
      <c r="H27" s="19"/>
    </row>
    <row r="28" spans="1:8" x14ac:dyDescent="0.2">
      <c r="G28" s="19"/>
    </row>
  </sheetData>
  <sheetProtection selectLockedCells="1" selectUnlockedCells="1"/>
  <mergeCells count="4">
    <mergeCell ref="A1:G1"/>
    <mergeCell ref="A2:G2"/>
    <mergeCell ref="A3:G3"/>
    <mergeCell ref="A27:B27"/>
  </mergeCells>
  <pageMargins left="0.59027777777777779" right="0.39374999999999999" top="0.59027777777777779" bottom="0.59027777777777779" header="0.51180555555555551" footer="0.51180555555555551"/>
  <pageSetup paperSize="9" scale="7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selection activeCell="H60" sqref="H60"/>
    </sheetView>
  </sheetViews>
  <sheetFormatPr defaultRowHeight="12.75" x14ac:dyDescent="0.2"/>
  <cols>
    <col min="1" max="1" width="35.28515625" style="1" customWidth="1"/>
    <col min="2" max="2" width="54.140625" style="1" customWidth="1"/>
    <col min="3" max="3" width="17" style="1" customWidth="1"/>
    <col min="4" max="4" width="30.85546875" style="1" customWidth="1"/>
    <col min="5" max="5" width="10.85546875" style="1" customWidth="1"/>
    <col min="6" max="6" width="14" style="1" bestFit="1" customWidth="1"/>
    <col min="7" max="16384" width="9.140625" style="1"/>
  </cols>
  <sheetData>
    <row r="1" spans="1:6" x14ac:dyDescent="0.2">
      <c r="A1" s="253" t="s">
        <v>0</v>
      </c>
      <c r="B1" s="253"/>
      <c r="C1" s="253"/>
      <c r="D1" s="253"/>
      <c r="E1" s="253"/>
    </row>
    <row r="2" spans="1:6" ht="12.75" customHeight="1" x14ac:dyDescent="0.2">
      <c r="A2" s="254" t="s">
        <v>277</v>
      </c>
      <c r="B2" s="254"/>
      <c r="C2" s="254"/>
      <c r="D2" s="254"/>
      <c r="E2" s="254"/>
    </row>
    <row r="3" spans="1:6" x14ac:dyDescent="0.2">
      <c r="A3" s="255" t="s">
        <v>65</v>
      </c>
      <c r="B3" s="255"/>
      <c r="C3" s="255"/>
      <c r="D3" s="255"/>
      <c r="E3" s="255"/>
    </row>
    <row r="4" spans="1:6" x14ac:dyDescent="0.2">
      <c r="A4" s="89" t="s">
        <v>66</v>
      </c>
      <c r="B4" s="89" t="s">
        <v>274</v>
      </c>
      <c r="C4" s="89" t="s">
        <v>67</v>
      </c>
      <c r="D4" s="89" t="s">
        <v>68</v>
      </c>
      <c r="E4" s="90" t="s">
        <v>69</v>
      </c>
    </row>
    <row r="5" spans="1:6" x14ac:dyDescent="0.2">
      <c r="A5" s="91" t="str">
        <f>'[1]Anexo II - Resumo dos Programas'!B5</f>
        <v>Ação Legislativa</v>
      </c>
      <c r="B5" s="92" t="s">
        <v>70</v>
      </c>
      <c r="C5" s="93" t="s">
        <v>71</v>
      </c>
      <c r="D5" s="93" t="s">
        <v>3</v>
      </c>
      <c r="E5" s="94">
        <f>'Anexo II - Resumo dos Programas'!G5</f>
        <v>3650000</v>
      </c>
    </row>
    <row r="6" spans="1:6" ht="13.5" thickBot="1" x14ac:dyDescent="0.25">
      <c r="A6" s="91" t="str">
        <f>'[1]Anexo II - Resumo dos Programas'!B6</f>
        <v>Ivoti Segura</v>
      </c>
      <c r="B6" s="95" t="s">
        <v>72</v>
      </c>
      <c r="C6" s="96" t="s">
        <v>73</v>
      </c>
      <c r="D6" s="96" t="s">
        <v>74</v>
      </c>
      <c r="E6" s="94">
        <v>3400000</v>
      </c>
    </row>
    <row r="7" spans="1:6" ht="13.5" thickBot="1" x14ac:dyDescent="0.25">
      <c r="A7" s="91" t="str">
        <f>A6</f>
        <v>Ivoti Segura</v>
      </c>
      <c r="B7" s="96" t="s">
        <v>323</v>
      </c>
      <c r="C7" s="96" t="str">
        <f>C6</f>
        <v xml:space="preserve">Seguranca Publica  </v>
      </c>
      <c r="D7" s="96" t="s">
        <v>75</v>
      </c>
      <c r="E7" s="94">
        <v>1050000</v>
      </c>
    </row>
    <row r="8" spans="1:6" ht="13.5" thickBot="1" x14ac:dyDescent="0.25">
      <c r="A8" s="91" t="str">
        <f>A7</f>
        <v>Ivoti Segura</v>
      </c>
      <c r="B8" s="96" t="s">
        <v>76</v>
      </c>
      <c r="C8" s="96" t="str">
        <f>C7</f>
        <v xml:space="preserve">Seguranca Publica  </v>
      </c>
      <c r="D8" s="96" t="s">
        <v>75</v>
      </c>
      <c r="E8" s="94">
        <v>48000</v>
      </c>
      <c r="F8" s="19"/>
    </row>
    <row r="9" spans="1:6" ht="13.5" thickBot="1" x14ac:dyDescent="0.25">
      <c r="A9" s="75" t="str">
        <f>'[1]Anexo II - Resumo dos Programas'!$B$7</f>
        <v>Supervisão e Coordenação Administrativa</v>
      </c>
      <c r="B9" s="96" t="s">
        <v>77</v>
      </c>
      <c r="C9" s="96" t="s">
        <v>78</v>
      </c>
      <c r="D9" s="96" t="s">
        <v>79</v>
      </c>
      <c r="E9" s="94">
        <v>5140000</v>
      </c>
      <c r="F9" s="40"/>
    </row>
    <row r="10" spans="1:6" x14ac:dyDescent="0.2">
      <c r="A10" s="75" t="str">
        <f>'[1]Anexo II - Resumo dos Programas'!$B$7</f>
        <v>Supervisão e Coordenação Administrativa</v>
      </c>
      <c r="B10" s="96" t="s">
        <v>80</v>
      </c>
      <c r="C10" s="96" t="s">
        <v>78</v>
      </c>
      <c r="D10" s="96" t="s">
        <v>79</v>
      </c>
      <c r="E10" s="94">
        <v>15900000</v>
      </c>
    </row>
    <row r="11" spans="1:6" x14ac:dyDescent="0.2">
      <c r="A11" s="75" t="str">
        <f>'[1]Anexo II - Resumo dos Programas'!$B$7</f>
        <v>Supervisão e Coordenação Administrativa</v>
      </c>
      <c r="B11" s="96" t="s">
        <v>81</v>
      </c>
      <c r="C11" s="96" t="s">
        <v>78</v>
      </c>
      <c r="D11" s="96" t="s">
        <v>79</v>
      </c>
      <c r="E11" s="94">
        <v>4150000</v>
      </c>
    </row>
    <row r="12" spans="1:6" x14ac:dyDescent="0.2">
      <c r="A12" s="75" t="str">
        <f>'[1]Anexo II - Resumo dos Programas'!$B$7</f>
        <v>Supervisão e Coordenação Administrativa</v>
      </c>
      <c r="B12" s="96" t="s">
        <v>82</v>
      </c>
      <c r="C12" s="96" t="s">
        <v>83</v>
      </c>
      <c r="D12" s="96" t="s">
        <v>84</v>
      </c>
      <c r="E12" s="94">
        <v>29900000</v>
      </c>
    </row>
    <row r="13" spans="1:6" x14ac:dyDescent="0.2">
      <c r="A13" s="75" t="str">
        <f>'[1]Anexo II - Resumo dos Programas'!$B$7</f>
        <v>Supervisão e Coordenação Administrativa</v>
      </c>
      <c r="B13" s="96" t="s">
        <v>85</v>
      </c>
      <c r="C13" s="96" t="s">
        <v>86</v>
      </c>
      <c r="D13" s="96" t="s">
        <v>87</v>
      </c>
      <c r="E13" s="94">
        <v>6400000</v>
      </c>
    </row>
    <row r="14" spans="1:6" x14ac:dyDescent="0.2">
      <c r="A14" s="75" t="str">
        <f>'[1]Anexo II - Resumo dos Programas'!$B$7</f>
        <v>Supervisão e Coordenação Administrativa</v>
      </c>
      <c r="B14" s="96" t="s">
        <v>88</v>
      </c>
      <c r="C14" s="96" t="s">
        <v>86</v>
      </c>
      <c r="D14" s="96" t="s">
        <v>89</v>
      </c>
      <c r="E14" s="94">
        <v>1300000</v>
      </c>
    </row>
    <row r="15" spans="1:6" x14ac:dyDescent="0.2">
      <c r="A15" s="75" t="str">
        <f>'[1]Anexo II - Resumo dos Programas'!$B$7</f>
        <v>Supervisão e Coordenação Administrativa</v>
      </c>
      <c r="B15" s="96" t="s">
        <v>273</v>
      </c>
      <c r="C15" s="96" t="s">
        <v>86</v>
      </c>
      <c r="D15" s="96" t="s">
        <v>272</v>
      </c>
      <c r="E15" s="94">
        <v>1240000</v>
      </c>
      <c r="F15" s="19"/>
    </row>
    <row r="16" spans="1:6" ht="13.5" thickBot="1" x14ac:dyDescent="0.25">
      <c r="A16" s="91" t="str">
        <f>'[1]Anexo II - Resumo dos Programas'!$B$8</f>
        <v>Gestão Pública Eficiente</v>
      </c>
      <c r="B16" s="96" t="s">
        <v>90</v>
      </c>
      <c r="C16" s="96" t="s">
        <v>86</v>
      </c>
      <c r="D16" s="96" t="s">
        <v>79</v>
      </c>
      <c r="E16" s="94">
        <v>40000</v>
      </c>
    </row>
    <row r="17" spans="1:6" ht="13.5" thickBot="1" x14ac:dyDescent="0.25">
      <c r="A17" s="91" t="str">
        <f>'[1]Anexo II - Resumo dos Programas'!$B$8</f>
        <v>Gestão Pública Eficiente</v>
      </c>
      <c r="B17" s="96" t="s">
        <v>92</v>
      </c>
      <c r="C17" s="96" t="s">
        <v>86</v>
      </c>
      <c r="D17" s="96" t="s">
        <v>79</v>
      </c>
      <c r="E17" s="94">
        <v>40000</v>
      </c>
    </row>
    <row r="18" spans="1:6" x14ac:dyDescent="0.2">
      <c r="A18" s="91" t="str">
        <f>'[1]Anexo II - Resumo dos Programas'!$B$8</f>
        <v>Gestão Pública Eficiente</v>
      </c>
      <c r="B18" s="96" t="s">
        <v>93</v>
      </c>
      <c r="C18" s="96" t="s">
        <v>86</v>
      </c>
      <c r="D18" s="96" t="s">
        <v>79</v>
      </c>
      <c r="E18" s="94">
        <v>1025000</v>
      </c>
      <c r="F18" s="19"/>
    </row>
    <row r="19" spans="1:6" x14ac:dyDescent="0.2">
      <c r="A19" s="91" t="str">
        <f>'[1]Anexo II - Resumo dos Programas'!$B$8</f>
        <v>Gestão Pública Eficiente</v>
      </c>
      <c r="B19" s="96" t="s">
        <v>93</v>
      </c>
      <c r="C19" s="96" t="s">
        <v>94</v>
      </c>
      <c r="D19" s="96" t="s">
        <v>79</v>
      </c>
      <c r="E19" s="94">
        <v>320000</v>
      </c>
    </row>
    <row r="20" spans="1:6" x14ac:dyDescent="0.2">
      <c r="A20" s="91" t="str">
        <f>'[1]Anexo II - Resumo dos Programas'!$B$8</f>
        <v>Gestão Pública Eficiente</v>
      </c>
      <c r="B20" s="96" t="s">
        <v>95</v>
      </c>
      <c r="C20" s="96" t="s">
        <v>86</v>
      </c>
      <c r="D20" s="96" t="s">
        <v>79</v>
      </c>
      <c r="E20" s="94">
        <v>1030000</v>
      </c>
    </row>
    <row r="21" spans="1:6" x14ac:dyDescent="0.2">
      <c r="A21" s="91" t="str">
        <f>'[1]Anexo II - Resumo dos Programas'!$B$8</f>
        <v>Gestão Pública Eficiente</v>
      </c>
      <c r="B21" s="96" t="s">
        <v>96</v>
      </c>
      <c r="C21" s="96" t="s">
        <v>86</v>
      </c>
      <c r="D21" s="96" t="s">
        <v>87</v>
      </c>
      <c r="E21" s="94">
        <v>200000</v>
      </c>
    </row>
    <row r="22" spans="1:6" x14ac:dyDescent="0.2">
      <c r="A22" s="91" t="str">
        <f>'[1]Anexo II - Resumo dos Programas'!$B$8</f>
        <v>Gestão Pública Eficiente</v>
      </c>
      <c r="B22" s="96" t="s">
        <v>97</v>
      </c>
      <c r="C22" s="96" t="s">
        <v>86</v>
      </c>
      <c r="D22" s="96" t="s">
        <v>91</v>
      </c>
      <c r="E22" s="94">
        <v>840000</v>
      </c>
    </row>
    <row r="23" spans="1:6" x14ac:dyDescent="0.2">
      <c r="A23" s="91" t="str">
        <f>'[1]Anexo II - Resumo dos Programas'!$B$8</f>
        <v>Gestão Pública Eficiente</v>
      </c>
      <c r="B23" s="96" t="s">
        <v>98</v>
      </c>
      <c r="C23" s="96" t="s">
        <v>99</v>
      </c>
      <c r="D23" s="96" t="s">
        <v>100</v>
      </c>
      <c r="E23" s="94">
        <v>60000</v>
      </c>
      <c r="F23" s="19"/>
    </row>
    <row r="24" spans="1:6" x14ac:dyDescent="0.2">
      <c r="A24" s="91" t="str">
        <f>'[1]Anexo II - Resumo dos Programas'!B9</f>
        <v>Valorização da Produção Rural</v>
      </c>
      <c r="B24" s="96" t="s">
        <v>101</v>
      </c>
      <c r="C24" s="96" t="s">
        <v>102</v>
      </c>
      <c r="D24" s="96" t="s">
        <v>103</v>
      </c>
      <c r="E24" s="94">
        <v>4900000</v>
      </c>
    </row>
    <row r="25" spans="1:6" ht="13.5" thickBot="1" x14ac:dyDescent="0.25">
      <c r="A25" s="91" t="str">
        <f>'[1]Anexo II - Resumo dos Programas'!B10</f>
        <v>Promoção do Crescimento</v>
      </c>
      <c r="B25" s="96" t="s">
        <v>104</v>
      </c>
      <c r="C25" s="96" t="s">
        <v>105</v>
      </c>
      <c r="D25" s="96" t="s">
        <v>106</v>
      </c>
      <c r="E25" s="94">
        <v>11300000</v>
      </c>
      <c r="F25" s="19"/>
    </row>
    <row r="26" spans="1:6" ht="13.5" thickBot="1" x14ac:dyDescent="0.25">
      <c r="A26" s="91" t="s">
        <v>49</v>
      </c>
      <c r="B26" s="96" t="s">
        <v>108</v>
      </c>
      <c r="C26" s="96" t="s">
        <v>105</v>
      </c>
      <c r="D26" s="96" t="s">
        <v>106</v>
      </c>
      <c r="E26" s="94">
        <v>40000</v>
      </c>
    </row>
    <row r="27" spans="1:6" ht="13.5" thickBot="1" x14ac:dyDescent="0.25">
      <c r="A27" s="91" t="str">
        <f>'[1]Anexo II - Resumo dos Programas'!B11</f>
        <v>Desenvolvimento do Turismo</v>
      </c>
      <c r="B27" s="96" t="s">
        <v>109</v>
      </c>
      <c r="C27" s="96" t="s">
        <v>107</v>
      </c>
      <c r="D27" s="96" t="s">
        <v>110</v>
      </c>
      <c r="E27" s="94">
        <v>3060000</v>
      </c>
      <c r="F27" s="19"/>
    </row>
    <row r="28" spans="1:6" x14ac:dyDescent="0.2">
      <c r="A28" s="91" t="str">
        <f>A27</f>
        <v>Desenvolvimento do Turismo</v>
      </c>
      <c r="B28" s="96" t="s">
        <v>111</v>
      </c>
      <c r="C28" s="96" t="s">
        <v>112</v>
      </c>
      <c r="D28" s="96" t="str">
        <f>D27</f>
        <v xml:space="preserve">Turismo    </v>
      </c>
      <c r="E28" s="94">
        <v>12600000</v>
      </c>
    </row>
    <row r="29" spans="1:6" x14ac:dyDescent="0.2">
      <c r="A29" s="91" t="str">
        <f>A28</f>
        <v>Desenvolvimento do Turismo</v>
      </c>
      <c r="B29" s="96" t="s">
        <v>329</v>
      </c>
      <c r="C29" s="96" t="s">
        <v>112</v>
      </c>
      <c r="D29" s="96" t="str">
        <f>D28</f>
        <v xml:space="preserve">Turismo    </v>
      </c>
      <c r="E29" s="94">
        <v>910000</v>
      </c>
    </row>
    <row r="30" spans="1:6" x14ac:dyDescent="0.2">
      <c r="A30" s="91" t="str">
        <f>'[1]Anexo II - Resumo dos Programas'!$B$12</f>
        <v>Desenvolvimento Educacional</v>
      </c>
      <c r="B30" s="96" t="s">
        <v>113</v>
      </c>
      <c r="C30" s="96" t="s">
        <v>94</v>
      </c>
      <c r="D30" s="96" t="str">
        <f>D9</f>
        <v>Administracao Geral</v>
      </c>
      <c r="E30" s="94">
        <f>13600000+10000000</f>
        <v>23600000</v>
      </c>
      <c r="F30" s="19"/>
    </row>
    <row r="31" spans="1:6" x14ac:dyDescent="0.2">
      <c r="A31" s="91" t="str">
        <f>'[1]Anexo II - Resumo dos Programas'!$B$12</f>
        <v>Desenvolvimento Educacional</v>
      </c>
      <c r="B31" s="96" t="s">
        <v>114</v>
      </c>
      <c r="C31" s="96" t="s">
        <v>94</v>
      </c>
      <c r="D31" s="96" t="s">
        <v>115</v>
      </c>
      <c r="E31" s="94">
        <f>32100000+2420000</f>
        <v>34520000</v>
      </c>
    </row>
    <row r="32" spans="1:6" x14ac:dyDescent="0.2">
      <c r="A32" s="91" t="str">
        <f>'[1]Anexo II - Resumo dos Programas'!$B$12</f>
        <v>Desenvolvimento Educacional</v>
      </c>
      <c r="B32" s="96" t="s">
        <v>116</v>
      </c>
      <c r="C32" s="96" t="s">
        <v>94</v>
      </c>
      <c r="D32" s="96" t="s">
        <v>115</v>
      </c>
      <c r="E32" s="94">
        <f>24500000+19050000</f>
        <v>43550000</v>
      </c>
    </row>
    <row r="33" spans="1:6" x14ac:dyDescent="0.2">
      <c r="A33" s="91" t="str">
        <f>'[1]Anexo II - Resumo dos Programas'!$B$12</f>
        <v>Desenvolvimento Educacional</v>
      </c>
      <c r="B33" s="96" t="s">
        <v>117</v>
      </c>
      <c r="C33" s="96" t="s">
        <v>94</v>
      </c>
      <c r="D33" s="96" t="s">
        <v>115</v>
      </c>
      <c r="E33" s="94">
        <v>4080000</v>
      </c>
    </row>
    <row r="34" spans="1:6" x14ac:dyDescent="0.2">
      <c r="A34" s="91" t="str">
        <f>'[1]Anexo II - Resumo dos Programas'!$B$12</f>
        <v>Desenvolvimento Educacional</v>
      </c>
      <c r="B34" s="96" t="s">
        <v>118</v>
      </c>
      <c r="C34" s="96" t="s">
        <v>94</v>
      </c>
      <c r="D34" s="96" t="s">
        <v>119</v>
      </c>
      <c r="E34" s="94">
        <v>40000</v>
      </c>
    </row>
    <row r="35" spans="1:6" x14ac:dyDescent="0.2">
      <c r="A35" s="91" t="str">
        <f>'[1]Anexo II - Resumo dos Programas'!$B$12</f>
        <v>Desenvolvimento Educacional</v>
      </c>
      <c r="B35" s="96" t="s">
        <v>120</v>
      </c>
      <c r="C35" s="96" t="s">
        <v>94</v>
      </c>
      <c r="D35" s="96" t="s">
        <v>119</v>
      </c>
      <c r="E35" s="94">
        <v>34570000</v>
      </c>
    </row>
    <row r="36" spans="1:6" x14ac:dyDescent="0.2">
      <c r="A36" s="91" t="str">
        <f>'[1]Anexo II - Resumo dos Programas'!$B$12</f>
        <v>Desenvolvimento Educacional</v>
      </c>
      <c r="B36" s="96" t="s">
        <v>121</v>
      </c>
      <c r="C36" s="96" t="s">
        <v>94</v>
      </c>
      <c r="D36" s="96" t="s">
        <v>119</v>
      </c>
      <c r="E36" s="94">
        <v>47400000</v>
      </c>
    </row>
    <row r="37" spans="1:6" x14ac:dyDescent="0.2">
      <c r="A37" s="91" t="str">
        <f>'[1]Anexo II - Resumo dos Programas'!$B$12</f>
        <v>Desenvolvimento Educacional</v>
      </c>
      <c r="B37" s="96" t="s">
        <v>122</v>
      </c>
      <c r="C37" s="96" t="s">
        <v>94</v>
      </c>
      <c r="D37" s="96" t="s">
        <v>119</v>
      </c>
      <c r="E37" s="94">
        <v>4600000</v>
      </c>
    </row>
    <row r="38" spans="1:6" ht="13.5" thickBot="1" x14ac:dyDescent="0.25">
      <c r="A38" s="91" t="str">
        <f>'[1]Anexo II - Resumo dos Programas'!$B$12</f>
        <v>Desenvolvimento Educacional</v>
      </c>
      <c r="B38" s="96" t="s">
        <v>271</v>
      </c>
      <c r="C38" s="96" t="s">
        <v>94</v>
      </c>
      <c r="D38" s="96" t="s">
        <v>119</v>
      </c>
      <c r="E38" s="94">
        <v>40000</v>
      </c>
      <c r="F38" s="19"/>
    </row>
    <row r="39" spans="1:6" ht="13.5" thickBot="1" x14ac:dyDescent="0.25">
      <c r="A39" s="91" t="str">
        <f>'[1]Anexo II - Resumo dos Programas'!$B$13</f>
        <v>Proteção Social Especial</v>
      </c>
      <c r="B39" s="96" t="s">
        <v>123</v>
      </c>
      <c r="C39" s="96" t="s">
        <v>94</v>
      </c>
      <c r="D39" s="96" t="s">
        <v>124</v>
      </c>
      <c r="E39" s="94">
        <v>1460000</v>
      </c>
      <c r="F39" s="19"/>
    </row>
    <row r="40" spans="1:6" ht="13.5" thickBot="1" x14ac:dyDescent="0.25">
      <c r="A40" s="91" t="str">
        <f>'[1]Anexo II - Resumo dos Programas'!$B$13</f>
        <v>Proteção Social Especial</v>
      </c>
      <c r="B40" s="96" t="s">
        <v>125</v>
      </c>
      <c r="C40" s="96" t="s">
        <v>94</v>
      </c>
      <c r="D40" s="96" t="s">
        <v>124</v>
      </c>
      <c r="E40" s="94">
        <v>2740000</v>
      </c>
    </row>
    <row r="41" spans="1:6" ht="13.5" thickBot="1" x14ac:dyDescent="0.25">
      <c r="A41" s="91" t="str">
        <f>'[1]Anexo II - Resumo dos Programas'!$B$14</f>
        <v>Assistência ao Educando</v>
      </c>
      <c r="B41" s="96" t="s">
        <v>128</v>
      </c>
      <c r="C41" s="96" t="s">
        <v>94</v>
      </c>
      <c r="D41" s="96" t="s">
        <v>119</v>
      </c>
      <c r="E41" s="94">
        <v>3900000</v>
      </c>
      <c r="F41" s="19"/>
    </row>
    <row r="42" spans="1:6" ht="13.5" thickBot="1" x14ac:dyDescent="0.25">
      <c r="A42" s="91" t="str">
        <f>'[1]Anexo II - Resumo dos Programas'!$B$14</f>
        <v>Assistência ao Educando</v>
      </c>
      <c r="B42" s="96" t="s">
        <v>129</v>
      </c>
      <c r="C42" s="96" t="s">
        <v>94</v>
      </c>
      <c r="D42" s="96" t="s">
        <v>130</v>
      </c>
      <c r="E42" s="94">
        <v>4700000</v>
      </c>
    </row>
    <row r="43" spans="1:6" ht="13.5" thickBot="1" x14ac:dyDescent="0.25">
      <c r="A43" s="91" t="str">
        <f>'[1]Anexo II - Resumo dos Programas'!$B$14</f>
        <v>Assistência ao Educando</v>
      </c>
      <c r="B43" s="96" t="s">
        <v>131</v>
      </c>
      <c r="C43" s="96" t="s">
        <v>94</v>
      </c>
      <c r="D43" s="96" t="s">
        <v>130</v>
      </c>
      <c r="E43" s="94">
        <v>2500000</v>
      </c>
    </row>
    <row r="44" spans="1:6" ht="13.5" thickBot="1" x14ac:dyDescent="0.25">
      <c r="A44" s="91" t="str">
        <f>'[1]Anexo II - Resumo dos Programas'!$B$15</f>
        <v>Desenvolvimento da Cultura</v>
      </c>
      <c r="B44" s="96" t="s">
        <v>132</v>
      </c>
      <c r="C44" s="96" t="s">
        <v>133</v>
      </c>
      <c r="D44" s="96" t="s">
        <v>134</v>
      </c>
      <c r="E44" s="94">
        <v>5280000</v>
      </c>
      <c r="F44" s="19"/>
    </row>
    <row r="45" spans="1:6" ht="13.5" thickBot="1" x14ac:dyDescent="0.25">
      <c r="A45" s="91" t="str">
        <f>'[1]Anexo II - Resumo dos Programas'!$B$15</f>
        <v>Desenvolvimento da Cultura</v>
      </c>
      <c r="B45" s="96" t="s">
        <v>135</v>
      </c>
      <c r="C45" s="96" t="s">
        <v>133</v>
      </c>
      <c r="D45" s="96" t="s">
        <v>136</v>
      </c>
      <c r="E45" s="94">
        <v>688000</v>
      </c>
    </row>
    <row r="46" spans="1:6" ht="13.5" thickBot="1" x14ac:dyDescent="0.25">
      <c r="A46" s="91" t="str">
        <f>'[1]Anexo II - Resumo dos Programas'!$B$16</f>
        <v>Promoção do Desporto e Lazer</v>
      </c>
      <c r="B46" s="96" t="s">
        <v>137</v>
      </c>
      <c r="C46" s="96" t="s">
        <v>138</v>
      </c>
      <c r="D46" s="96" t="s">
        <v>139</v>
      </c>
      <c r="E46" s="94">
        <v>4860000</v>
      </c>
      <c r="F46" s="19"/>
    </row>
    <row r="47" spans="1:6" ht="13.5" thickBot="1" x14ac:dyDescent="0.25">
      <c r="A47" s="91" t="str">
        <f>'[1]Anexo II - Resumo dos Programas'!$B$16</f>
        <v>Promoção do Desporto e Lazer</v>
      </c>
      <c r="B47" s="96" t="s">
        <v>140</v>
      </c>
      <c r="C47" s="96" t="s">
        <v>138</v>
      </c>
      <c r="D47" s="96" t="s">
        <v>139</v>
      </c>
      <c r="E47" s="94">
        <v>7300000</v>
      </c>
    </row>
    <row r="48" spans="1:6" ht="13.5" thickBot="1" x14ac:dyDescent="0.25">
      <c r="A48" s="91" t="str">
        <f>'[1]Anexo II - Resumo dos Programas'!$B$16</f>
        <v>Promoção do Desporto e Lazer</v>
      </c>
      <c r="B48" s="96" t="s">
        <v>344</v>
      </c>
      <c r="C48" s="96" t="s">
        <v>138</v>
      </c>
      <c r="D48" s="96" t="s">
        <v>139</v>
      </c>
      <c r="E48" s="94">
        <v>4000000</v>
      </c>
    </row>
    <row r="49" spans="1:6" ht="13.5" thickBot="1" x14ac:dyDescent="0.25">
      <c r="A49" s="91" t="str">
        <f>'[1]Anexo II - Resumo dos Programas'!$B$17</f>
        <v>Mobilidade Urbana</v>
      </c>
      <c r="B49" s="96" t="s">
        <v>142</v>
      </c>
      <c r="C49" s="96" t="s">
        <v>143</v>
      </c>
      <c r="D49" s="96" t="s">
        <v>144</v>
      </c>
      <c r="E49" s="94">
        <v>19000000</v>
      </c>
      <c r="F49" s="19"/>
    </row>
    <row r="50" spans="1:6" ht="13.5" thickBot="1" x14ac:dyDescent="0.25">
      <c r="A50" s="91" t="str">
        <f>'[1]Anexo II - Resumo dos Programas'!$B$17</f>
        <v>Mobilidade Urbana</v>
      </c>
      <c r="B50" s="96" t="s">
        <v>145</v>
      </c>
      <c r="C50" s="96" t="s">
        <v>143</v>
      </c>
      <c r="D50" s="96" t="s">
        <v>144</v>
      </c>
      <c r="E50" s="94">
        <v>9300000</v>
      </c>
    </row>
    <row r="51" spans="1:6" ht="13.5" thickBot="1" x14ac:dyDescent="0.25">
      <c r="A51" s="91" t="str">
        <f>'[1]Anexo II - Resumo dos Programas'!$B$18</f>
        <v>Melhoria das Vias Urbanas</v>
      </c>
      <c r="B51" s="96" t="s">
        <v>146</v>
      </c>
      <c r="C51" s="96" t="s">
        <v>147</v>
      </c>
      <c r="D51" s="96" t="s">
        <v>141</v>
      </c>
      <c r="E51" s="94">
        <v>5800000</v>
      </c>
      <c r="F51" s="19"/>
    </row>
    <row r="52" spans="1:6" ht="13.5" thickBot="1" x14ac:dyDescent="0.25">
      <c r="A52" s="91" t="str">
        <f>'[1]Anexo II - Resumo dos Programas'!$B$18</f>
        <v>Melhoria das Vias Urbanas</v>
      </c>
      <c r="B52" s="96" t="s">
        <v>325</v>
      </c>
      <c r="C52" s="96" t="s">
        <v>83</v>
      </c>
      <c r="D52" s="96" t="s">
        <v>141</v>
      </c>
      <c r="E52" s="94">
        <v>2300000</v>
      </c>
    </row>
    <row r="53" spans="1:6" ht="13.5" thickBot="1" x14ac:dyDescent="0.25">
      <c r="A53" s="91" t="str">
        <f>'[1]Anexo II - Resumo dos Programas'!$B$18</f>
        <v>Melhoria das Vias Urbanas</v>
      </c>
      <c r="B53" s="96" t="s">
        <v>148</v>
      </c>
      <c r="C53" s="96" t="s">
        <v>83</v>
      </c>
      <c r="D53" s="96" t="s">
        <v>141</v>
      </c>
      <c r="E53" s="94">
        <v>4200000</v>
      </c>
    </row>
    <row r="54" spans="1:6" ht="13.5" thickBot="1" x14ac:dyDescent="0.25">
      <c r="A54" s="91" t="str">
        <f>'[1]Anexo II - Resumo dos Programas'!$B$18</f>
        <v>Melhoria das Vias Urbanas</v>
      </c>
      <c r="B54" s="96" t="s">
        <v>149</v>
      </c>
      <c r="C54" s="96" t="s">
        <v>83</v>
      </c>
      <c r="D54" s="96" t="s">
        <v>141</v>
      </c>
      <c r="E54" s="94">
        <v>800000</v>
      </c>
    </row>
    <row r="55" spans="1:6" ht="13.5" thickBot="1" x14ac:dyDescent="0.25">
      <c r="A55" s="91" t="str">
        <f>'[1]Anexo II - Resumo dos Programas'!$B$19</f>
        <v>Gestão Ambiental</v>
      </c>
      <c r="B55" s="96" t="s">
        <v>150</v>
      </c>
      <c r="C55" s="96" t="s">
        <v>58</v>
      </c>
      <c r="D55" s="96" t="s">
        <v>58</v>
      </c>
      <c r="E55" s="94">
        <v>5300000</v>
      </c>
      <c r="F55" s="19"/>
    </row>
    <row r="56" spans="1:6" ht="13.5" thickBot="1" x14ac:dyDescent="0.25">
      <c r="A56" s="91" t="str">
        <f>'[1]Anexo II - Resumo dos Programas'!$B$19</f>
        <v>Gestão Ambiental</v>
      </c>
      <c r="B56" s="96" t="s">
        <v>152</v>
      </c>
      <c r="C56" s="96" t="s">
        <v>58</v>
      </c>
      <c r="D56" s="96" t="s">
        <v>151</v>
      </c>
      <c r="E56" s="94">
        <v>24000</v>
      </c>
    </row>
    <row r="57" spans="1:6" ht="13.5" thickBot="1" x14ac:dyDescent="0.25">
      <c r="A57" s="91" t="str">
        <f>'[1]Anexo II - Resumo dos Programas'!$B$19</f>
        <v>Gestão Ambiental</v>
      </c>
      <c r="B57" s="96" t="s">
        <v>153</v>
      </c>
      <c r="C57" s="96" t="s">
        <v>154</v>
      </c>
      <c r="D57" s="96" t="s">
        <v>155</v>
      </c>
      <c r="E57" s="94">
        <v>12700000</v>
      </c>
    </row>
    <row r="58" spans="1:6" ht="13.5" thickBot="1" x14ac:dyDescent="0.25">
      <c r="A58" s="91" t="str">
        <f>'[1]Anexo II - Resumo dos Programas'!$B$19</f>
        <v>Gestão Ambiental</v>
      </c>
      <c r="B58" s="96" t="s">
        <v>326</v>
      </c>
      <c r="C58" s="96" t="s">
        <v>58</v>
      </c>
      <c r="D58" s="96" t="s">
        <v>151</v>
      </c>
      <c r="E58" s="94">
        <v>260000</v>
      </c>
    </row>
    <row r="59" spans="1:6" ht="13.5" thickBot="1" x14ac:dyDescent="0.25">
      <c r="A59" s="91" t="str">
        <f>'[1]Anexo II - Resumo dos Programas'!$B$19</f>
        <v>Gestão Ambiental</v>
      </c>
      <c r="B59" s="96" t="s">
        <v>156</v>
      </c>
      <c r="C59" s="96" t="s">
        <v>58</v>
      </c>
      <c r="D59" s="96" t="s">
        <v>151</v>
      </c>
      <c r="E59" s="94">
        <v>32000</v>
      </c>
    </row>
    <row r="60" spans="1:6" ht="13.5" thickBot="1" x14ac:dyDescent="0.25">
      <c r="A60" s="91" t="str">
        <f>'[1]Anexo II - Resumo dos Programas'!$B$19</f>
        <v>Gestão Ambiental</v>
      </c>
      <c r="B60" s="96" t="s">
        <v>157</v>
      </c>
      <c r="C60" s="96" t="s">
        <v>58</v>
      </c>
      <c r="D60" s="96" t="s">
        <v>158</v>
      </c>
      <c r="E60" s="94">
        <v>590000</v>
      </c>
    </row>
    <row r="61" spans="1:6" ht="13.5" thickBot="1" x14ac:dyDescent="0.25">
      <c r="A61" s="91" t="str">
        <f>'[1]Anexo II - Resumo dos Programas'!$B$19</f>
        <v>Gestão Ambiental</v>
      </c>
      <c r="B61" s="96" t="s">
        <v>159</v>
      </c>
      <c r="C61" s="96" t="s">
        <v>58</v>
      </c>
      <c r="D61" s="96" t="s">
        <v>151</v>
      </c>
      <c r="E61" s="94">
        <v>200000</v>
      </c>
    </row>
    <row r="62" spans="1:6" ht="13.5" thickBot="1" x14ac:dyDescent="0.25">
      <c r="A62" s="91" t="str">
        <f>'[1]Anexo II - Resumo dos Programas'!$B$20</f>
        <v>Saúde com Qualidade</v>
      </c>
      <c r="B62" s="96" t="s">
        <v>160</v>
      </c>
      <c r="C62" s="96" t="s">
        <v>161</v>
      </c>
      <c r="D62" s="96" t="s">
        <v>162</v>
      </c>
      <c r="E62" s="94">
        <v>61850000</v>
      </c>
    </row>
    <row r="63" spans="1:6" ht="13.5" thickBot="1" x14ac:dyDescent="0.25">
      <c r="A63" s="91" t="str">
        <f>'[1]Anexo II - Resumo dos Programas'!$B$20</f>
        <v>Saúde com Qualidade</v>
      </c>
      <c r="B63" s="96" t="s">
        <v>331</v>
      </c>
      <c r="C63" s="96" t="s">
        <v>161</v>
      </c>
      <c r="D63" s="96" t="s">
        <v>162</v>
      </c>
      <c r="E63" s="94">
        <v>20000</v>
      </c>
      <c r="F63" s="19"/>
    </row>
    <row r="64" spans="1:6" ht="13.5" thickBot="1" x14ac:dyDescent="0.25">
      <c r="A64" s="91" t="str">
        <f>'[1]Anexo II - Resumo dos Programas'!$B$20</f>
        <v>Saúde com Qualidade</v>
      </c>
      <c r="B64" s="96" t="s">
        <v>163</v>
      </c>
      <c r="C64" s="96" t="s">
        <v>161</v>
      </c>
      <c r="D64" s="96" t="s">
        <v>163</v>
      </c>
      <c r="E64" s="94">
        <v>200000</v>
      </c>
    </row>
    <row r="65" spans="1:6" ht="13.5" thickBot="1" x14ac:dyDescent="0.25">
      <c r="A65" s="91" t="str">
        <f>'[1]Anexo II - Resumo dos Programas'!$B$20</f>
        <v>Saúde com Qualidade</v>
      </c>
      <c r="B65" s="96" t="s">
        <v>164</v>
      </c>
      <c r="C65" s="96" t="s">
        <v>161</v>
      </c>
      <c r="D65" s="96" t="s">
        <v>164</v>
      </c>
      <c r="E65" s="94">
        <v>400000</v>
      </c>
    </row>
    <row r="66" spans="1:6" ht="13.5" thickBot="1" x14ac:dyDescent="0.25">
      <c r="A66" s="91" t="str">
        <f>'[1]Anexo II - Resumo dos Programas'!$B$20</f>
        <v>Saúde com Qualidade</v>
      </c>
      <c r="B66" s="96" t="s">
        <v>165</v>
      </c>
      <c r="C66" s="96" t="s">
        <v>161</v>
      </c>
      <c r="D66" s="96" t="s">
        <v>166</v>
      </c>
      <c r="E66" s="94">
        <v>15400000</v>
      </c>
    </row>
    <row r="67" spans="1:6" ht="13.5" thickBot="1" x14ac:dyDescent="0.25">
      <c r="A67" s="91" t="str">
        <f>'[1]Anexo II - Resumo dos Programas'!$B$20</f>
        <v>Saúde com Qualidade</v>
      </c>
      <c r="B67" s="96" t="s">
        <v>167</v>
      </c>
      <c r="C67" s="96" t="s">
        <v>161</v>
      </c>
      <c r="D67" s="96" t="s">
        <v>168</v>
      </c>
      <c r="E67" s="94">
        <v>2500000</v>
      </c>
    </row>
    <row r="68" spans="1:6" ht="13.5" thickBot="1" x14ac:dyDescent="0.25">
      <c r="A68" s="91" t="str">
        <f>'[1]Anexo II - Resumo dos Programas'!$B$20</f>
        <v>Saúde com Qualidade</v>
      </c>
      <c r="B68" s="96" t="s">
        <v>169</v>
      </c>
      <c r="C68" s="96" t="s">
        <v>161</v>
      </c>
      <c r="D68" s="96" t="s">
        <v>166</v>
      </c>
      <c r="E68" s="94">
        <v>27150000</v>
      </c>
    </row>
    <row r="69" spans="1:6" ht="13.5" thickBot="1" x14ac:dyDescent="0.25">
      <c r="A69" s="91" t="str">
        <f>'[1]Anexo II - Resumo dos Programas'!$B$20</f>
        <v>Saúde com Qualidade</v>
      </c>
      <c r="B69" s="96" t="s">
        <v>170</v>
      </c>
      <c r="C69" s="96" t="s">
        <v>161</v>
      </c>
      <c r="D69" s="96" t="s">
        <v>337</v>
      </c>
      <c r="E69" s="94">
        <v>7050000</v>
      </c>
    </row>
    <row r="70" spans="1:6" ht="13.5" thickBot="1" x14ac:dyDescent="0.25">
      <c r="A70" s="91" t="str">
        <f>'[1]Anexo II - Resumo dos Programas'!$B$20</f>
        <v>Saúde com Qualidade</v>
      </c>
      <c r="B70" s="108" t="s">
        <v>332</v>
      </c>
      <c r="C70" s="96" t="s">
        <v>161</v>
      </c>
      <c r="D70" s="96" t="s">
        <v>168</v>
      </c>
      <c r="E70" s="94">
        <v>860000</v>
      </c>
    </row>
    <row r="71" spans="1:6" ht="13.5" thickBot="1" x14ac:dyDescent="0.25">
      <c r="A71" s="91" t="str">
        <f>'[1]Anexo II - Resumo dos Programas'!$B$20</f>
        <v>Saúde com Qualidade</v>
      </c>
      <c r="B71" s="96" t="s">
        <v>333</v>
      </c>
      <c r="C71" s="96" t="s">
        <v>161</v>
      </c>
      <c r="D71" s="96" t="s">
        <v>168</v>
      </c>
      <c r="E71" s="94">
        <v>46000</v>
      </c>
    </row>
    <row r="72" spans="1:6" ht="13.5" thickBot="1" x14ac:dyDescent="0.25">
      <c r="A72" s="91" t="str">
        <f>'[1]Anexo II - Resumo dos Programas'!$B$20</f>
        <v>Saúde com Qualidade</v>
      </c>
      <c r="B72" s="96" t="s">
        <v>334</v>
      </c>
      <c r="C72" s="96" t="s">
        <v>161</v>
      </c>
      <c r="D72" s="96" t="s">
        <v>168</v>
      </c>
      <c r="E72" s="94">
        <v>46000</v>
      </c>
    </row>
    <row r="73" spans="1:6" ht="13.5" thickBot="1" x14ac:dyDescent="0.25">
      <c r="A73" s="91" t="str">
        <f>'[1]Anexo II - Resumo dos Programas'!$B$20</f>
        <v>Saúde com Qualidade</v>
      </c>
      <c r="B73" s="96" t="s">
        <v>335</v>
      </c>
      <c r="C73" s="96" t="s">
        <v>161</v>
      </c>
      <c r="D73" s="96" t="s">
        <v>168</v>
      </c>
      <c r="E73" s="94">
        <v>150000</v>
      </c>
    </row>
    <row r="74" spans="1:6" ht="13.5" thickBot="1" x14ac:dyDescent="0.25">
      <c r="A74" s="91" t="str">
        <f>'[1]Anexo II - Resumo dos Programas'!$B$20</f>
        <v>Saúde com Qualidade</v>
      </c>
      <c r="B74" s="96" t="s">
        <v>336</v>
      </c>
      <c r="C74" s="96" t="s">
        <v>161</v>
      </c>
      <c r="D74" s="96" t="s">
        <v>168</v>
      </c>
      <c r="E74" s="94">
        <v>630000</v>
      </c>
    </row>
    <row r="75" spans="1:6" ht="13.5" thickBot="1" x14ac:dyDescent="0.25">
      <c r="A75" s="91" t="str">
        <f>'[1]Anexo II - Resumo dos Programas'!$B$20</f>
        <v>Saúde com Qualidade</v>
      </c>
      <c r="B75" s="96" t="s">
        <v>338</v>
      </c>
      <c r="C75" s="96" t="s">
        <v>161</v>
      </c>
      <c r="D75" s="96" t="s">
        <v>168</v>
      </c>
      <c r="E75" s="94">
        <v>38000</v>
      </c>
    </row>
    <row r="76" spans="1:6" ht="13.5" thickBot="1" x14ac:dyDescent="0.25">
      <c r="A76" s="91" t="str">
        <f>'[1]Anexo II - Resumo dos Programas'!$B$21</f>
        <v>Proteção Social Básica</v>
      </c>
      <c r="B76" s="96" t="s">
        <v>171</v>
      </c>
      <c r="C76" s="96" t="s">
        <v>127</v>
      </c>
      <c r="D76" s="96" t="s">
        <v>172</v>
      </c>
      <c r="E76" s="94">
        <f>110000*4</f>
        <v>440000</v>
      </c>
      <c r="F76" s="19"/>
    </row>
    <row r="77" spans="1:6" ht="13.5" thickBot="1" x14ac:dyDescent="0.25">
      <c r="A77" s="91" t="str">
        <f>'[1]Anexo II - Resumo dos Programas'!$B$21</f>
        <v>Proteção Social Básica</v>
      </c>
      <c r="B77" s="96" t="s">
        <v>173</v>
      </c>
      <c r="C77" s="96" t="s">
        <v>127</v>
      </c>
      <c r="D77" s="96" t="s">
        <v>174</v>
      </c>
      <c r="E77" s="94">
        <v>183000</v>
      </c>
    </row>
    <row r="78" spans="1:6" ht="13.5" thickBot="1" x14ac:dyDescent="0.25">
      <c r="A78" s="91" t="str">
        <f>'[1]Anexo II - Resumo dos Programas'!$B$21</f>
        <v>Proteção Social Básica</v>
      </c>
      <c r="B78" s="96" t="s">
        <v>175</v>
      </c>
      <c r="C78" s="96" t="s">
        <v>127</v>
      </c>
      <c r="D78" s="96" t="s">
        <v>172</v>
      </c>
      <c r="E78" s="94">
        <f>431000+440000+450000+460000</f>
        <v>1781000</v>
      </c>
    </row>
    <row r="79" spans="1:6" x14ac:dyDescent="0.2">
      <c r="A79" s="91" t="str">
        <f>'[1]Anexo II - Resumo dos Programas'!$B$21</f>
        <v>Proteção Social Básica</v>
      </c>
      <c r="B79" s="96" t="s">
        <v>341</v>
      </c>
      <c r="C79" s="96" t="s">
        <v>127</v>
      </c>
      <c r="D79" s="96" t="s">
        <v>174</v>
      </c>
      <c r="E79" s="94">
        <v>4100000</v>
      </c>
    </row>
    <row r="80" spans="1:6" x14ac:dyDescent="0.2">
      <c r="A80" s="91" t="str">
        <f>'[1]Anexo II - Resumo dos Programas'!$B$21</f>
        <v>Proteção Social Básica</v>
      </c>
      <c r="B80" s="96" t="s">
        <v>126</v>
      </c>
      <c r="C80" s="96" t="s">
        <v>127</v>
      </c>
      <c r="D80" s="97" t="s">
        <v>285</v>
      </c>
      <c r="E80" s="98">
        <v>432000</v>
      </c>
    </row>
    <row r="81" spans="1:6" ht="13.5" thickBot="1" x14ac:dyDescent="0.25">
      <c r="A81" s="91" t="str">
        <f>'[1]Anexo II - Resumo dos Programas'!$B$21</f>
        <v>Proteção Social Básica</v>
      </c>
      <c r="B81" s="96" t="s">
        <v>342</v>
      </c>
      <c r="C81" s="96" t="s">
        <v>127</v>
      </c>
      <c r="D81" s="96" t="s">
        <v>174</v>
      </c>
      <c r="E81" s="99">
        <v>184000</v>
      </c>
    </row>
    <row r="82" spans="1:6" ht="13.5" thickBot="1" x14ac:dyDescent="0.25">
      <c r="A82" s="91" t="str">
        <f>'[1]Anexo II - Resumo dos Programas'!$B$21</f>
        <v>Proteção Social Básica</v>
      </c>
      <c r="B82" s="96" t="s">
        <v>176</v>
      </c>
      <c r="C82" s="96" t="s">
        <v>127</v>
      </c>
      <c r="D82" s="96" t="s">
        <v>174</v>
      </c>
      <c r="E82" s="94">
        <v>60000</v>
      </c>
    </row>
    <row r="83" spans="1:6" ht="13.5" thickBot="1" x14ac:dyDescent="0.25">
      <c r="A83" s="91" t="str">
        <f>'[1]Anexo II - Resumo dos Programas'!$B$21</f>
        <v>Proteção Social Básica</v>
      </c>
      <c r="B83" s="96" t="s">
        <v>177</v>
      </c>
      <c r="C83" s="96" t="s">
        <v>127</v>
      </c>
      <c r="D83" s="96" t="s">
        <v>178</v>
      </c>
      <c r="E83" s="94">
        <v>196000</v>
      </c>
      <c r="F83" s="19"/>
    </row>
    <row r="84" spans="1:6" ht="13.5" thickBot="1" x14ac:dyDescent="0.25">
      <c r="A84" s="91" t="s">
        <v>33</v>
      </c>
      <c r="B84" s="96" t="s">
        <v>179</v>
      </c>
      <c r="C84" s="96" t="s">
        <v>180</v>
      </c>
      <c r="D84" s="96" t="s">
        <v>181</v>
      </c>
      <c r="E84" s="94">
        <v>20000</v>
      </c>
    </row>
    <row r="85" spans="1:6" ht="13.5" thickBot="1" x14ac:dyDescent="0.25">
      <c r="A85" s="91" t="str">
        <f>'[1]Anexo II - Resumo dos Programas'!B22</f>
        <v>Gestão dos Serviços de Água</v>
      </c>
      <c r="B85" s="96" t="s">
        <v>182</v>
      </c>
      <c r="C85" s="96" t="s">
        <v>154</v>
      </c>
      <c r="D85" s="96" t="s">
        <v>183</v>
      </c>
      <c r="E85" s="94">
        <v>21810000</v>
      </c>
      <c r="F85" s="19"/>
    </row>
    <row r="86" spans="1:6" ht="13.5" thickBot="1" x14ac:dyDescent="0.25">
      <c r="A86" s="91" t="str">
        <f>'[1]Anexo II - Resumo dos Programas'!$B$23</f>
        <v>Manutenção dos Serviços de Água</v>
      </c>
      <c r="B86" s="96" t="s">
        <v>184</v>
      </c>
      <c r="C86" s="96" t="s">
        <v>154</v>
      </c>
      <c r="D86" s="96" t="s">
        <v>183</v>
      </c>
      <c r="E86" s="94">
        <v>32260000</v>
      </c>
    </row>
    <row r="87" spans="1:6" ht="13.5" thickBot="1" x14ac:dyDescent="0.25">
      <c r="A87" s="91" t="str">
        <f>'[1]Anexo II - Resumo dos Programas'!$B$23</f>
        <v>Manutenção dos Serviços de Água</v>
      </c>
      <c r="B87" s="96" t="s">
        <v>185</v>
      </c>
      <c r="C87" s="96" t="s">
        <v>154</v>
      </c>
      <c r="D87" s="96" t="s">
        <v>183</v>
      </c>
      <c r="E87" s="94">
        <v>4430000</v>
      </c>
    </row>
    <row r="88" spans="1:6" ht="13.5" thickBot="1" x14ac:dyDescent="0.25">
      <c r="A88" s="100" t="s">
        <v>63</v>
      </c>
      <c r="B88" s="96" t="s">
        <v>186</v>
      </c>
      <c r="C88" s="96" t="s">
        <v>187</v>
      </c>
      <c r="D88" s="96" t="s">
        <v>162</v>
      </c>
      <c r="E88" s="94">
        <v>1780000</v>
      </c>
      <c r="F88" s="19"/>
    </row>
    <row r="89" spans="1:6" ht="13.5" thickBot="1" x14ac:dyDescent="0.25">
      <c r="A89" s="100" t="str">
        <f>'[1]Anexo II - Resumo dos Programas'!B24</f>
        <v>RPPS</v>
      </c>
      <c r="B89" s="96" t="s">
        <v>188</v>
      </c>
      <c r="C89" s="96" t="s">
        <v>187</v>
      </c>
      <c r="D89" s="96" t="s">
        <v>189</v>
      </c>
      <c r="E89" s="94">
        <v>37000000</v>
      </c>
    </row>
    <row r="90" spans="1:6" ht="13.5" thickBot="1" x14ac:dyDescent="0.25">
      <c r="A90" s="256" t="s">
        <v>190</v>
      </c>
      <c r="B90" s="256"/>
      <c r="C90" s="256"/>
      <c r="D90" s="256"/>
      <c r="E90" s="133">
        <f>SUM(E5:E89)</f>
        <v>619893000</v>
      </c>
    </row>
    <row r="91" spans="1:6" x14ac:dyDescent="0.2">
      <c r="E91" s="19"/>
    </row>
  </sheetData>
  <sheetProtection selectLockedCells="1" selectUnlockedCells="1"/>
  <mergeCells count="4">
    <mergeCell ref="A1:E1"/>
    <mergeCell ref="A2:E2"/>
    <mergeCell ref="A3:E3"/>
    <mergeCell ref="A90:D90"/>
  </mergeCells>
  <pageMargins left="0.25" right="0.25" top="0.75" bottom="0.75" header="0.51180555555555551" footer="0.51180555555555551"/>
  <pageSetup paperSize="9" scale="95"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146"/>
  <sheetViews>
    <sheetView tabSelected="1" zoomScale="110" zoomScaleNormal="110" workbookViewId="0">
      <selection activeCell="I15" sqref="I15"/>
    </sheetView>
  </sheetViews>
  <sheetFormatPr defaultRowHeight="12.75" x14ac:dyDescent="0.2"/>
  <cols>
    <col min="1" max="1" width="9.140625" style="1"/>
    <col min="2" max="2" width="6.85546875" style="1" customWidth="1"/>
    <col min="3" max="3" width="74.7109375" style="1" customWidth="1"/>
    <col min="4" max="5" width="18" style="1" customWidth="1"/>
    <col min="6" max="6" width="18" style="30" customWidth="1"/>
    <col min="7" max="7" width="18" style="1" customWidth="1"/>
    <col min="8" max="8" width="18" style="1" bestFit="1" customWidth="1"/>
    <col min="9" max="11" width="16.85546875" style="1" customWidth="1"/>
    <col min="12" max="12" width="15" style="1" bestFit="1" customWidth="1"/>
    <col min="13" max="16384" width="9.140625" style="1"/>
  </cols>
  <sheetData>
    <row r="1" spans="2:7" ht="16.5" thickBot="1" x14ac:dyDescent="0.3">
      <c r="B1" s="271" t="s">
        <v>0</v>
      </c>
      <c r="C1" s="272"/>
      <c r="D1" s="272"/>
      <c r="E1" s="272"/>
      <c r="F1" s="272"/>
      <c r="G1" s="273"/>
    </row>
    <row r="2" spans="2:7" ht="12.75" customHeight="1" x14ac:dyDescent="0.2">
      <c r="B2" s="274" t="s">
        <v>277</v>
      </c>
      <c r="C2" s="232"/>
      <c r="D2" s="232"/>
      <c r="E2" s="232"/>
      <c r="F2" s="232"/>
      <c r="G2" s="275"/>
    </row>
    <row r="3" spans="2:7" ht="13.5" thickBot="1" x14ac:dyDescent="0.25">
      <c r="B3" s="75"/>
      <c r="C3" s="275" t="s">
        <v>191</v>
      </c>
      <c r="D3" s="275"/>
      <c r="E3" s="275"/>
      <c r="F3" s="275"/>
      <c r="G3" s="275"/>
    </row>
    <row r="4" spans="2:7" ht="18" x14ac:dyDescent="0.25">
      <c r="B4" s="139" t="s">
        <v>192</v>
      </c>
      <c r="C4" s="140" t="s">
        <v>193</v>
      </c>
      <c r="D4" s="141">
        <v>2026</v>
      </c>
      <c r="E4" s="141">
        <v>2027</v>
      </c>
      <c r="F4" s="142">
        <v>2028</v>
      </c>
      <c r="G4" s="143">
        <v>2029</v>
      </c>
    </row>
    <row r="5" spans="2:7" ht="12.75" customHeight="1" x14ac:dyDescent="0.2">
      <c r="B5" s="276" t="s">
        <v>300</v>
      </c>
      <c r="C5" s="259"/>
      <c r="D5" s="259"/>
      <c r="E5" s="259"/>
      <c r="F5" s="259"/>
      <c r="G5" s="260"/>
    </row>
    <row r="6" spans="2:7" ht="15.75" thickBot="1" x14ac:dyDescent="0.3">
      <c r="B6" s="144">
        <v>2001</v>
      </c>
      <c r="C6" s="67" t="s">
        <v>194</v>
      </c>
      <c r="D6" s="41">
        <v>1000000</v>
      </c>
      <c r="E6" s="41">
        <v>800000</v>
      </c>
      <c r="F6" s="41">
        <v>850000</v>
      </c>
      <c r="G6" s="145">
        <v>900000</v>
      </c>
    </row>
    <row r="7" spans="2:7" ht="15.75" thickBot="1" x14ac:dyDescent="0.3">
      <c r="B7" s="59"/>
      <c r="C7" s="69" t="s">
        <v>195</v>
      </c>
      <c r="D7" s="78">
        <f>SUM(D6)</f>
        <v>1000000</v>
      </c>
      <c r="E7" s="79">
        <f>SUM(E6)</f>
        <v>800000</v>
      </c>
      <c r="F7" s="79">
        <f>SUM(F6)</f>
        <v>850000</v>
      </c>
      <c r="G7" s="146">
        <f>SUM(G6)</f>
        <v>900000</v>
      </c>
    </row>
    <row r="8" spans="2:7" x14ac:dyDescent="0.2">
      <c r="B8" s="59"/>
      <c r="F8" s="1"/>
      <c r="G8" s="60"/>
    </row>
    <row r="9" spans="2:7" ht="12.75" customHeight="1" x14ac:dyDescent="0.2">
      <c r="B9" s="276" t="s">
        <v>301</v>
      </c>
      <c r="C9" s="259"/>
      <c r="D9" s="259"/>
      <c r="E9" s="259"/>
      <c r="F9" s="259"/>
      <c r="G9" s="260"/>
    </row>
    <row r="10" spans="2:7" ht="15" x14ac:dyDescent="0.25">
      <c r="B10" s="147">
        <v>2002</v>
      </c>
      <c r="C10" s="66" t="s">
        <v>196</v>
      </c>
      <c r="D10" s="20">
        <f>1160000+50000</f>
        <v>1210000</v>
      </c>
      <c r="E10" s="20">
        <f>D10+50000</f>
        <v>1260000</v>
      </c>
      <c r="F10" s="20">
        <f>E10+50000</f>
        <v>1310000</v>
      </c>
      <c r="G10" s="148">
        <f>F10+50000</f>
        <v>1360000</v>
      </c>
    </row>
    <row r="11" spans="2:7" ht="15" x14ac:dyDescent="0.25">
      <c r="B11" s="147">
        <v>2003</v>
      </c>
      <c r="C11" s="66" t="s">
        <v>321</v>
      </c>
      <c r="D11" s="20">
        <v>350000</v>
      </c>
      <c r="E11" s="20">
        <v>250000</v>
      </c>
      <c r="F11" s="20">
        <v>250000</v>
      </c>
      <c r="G11" s="148">
        <v>200000</v>
      </c>
    </row>
    <row r="12" spans="2:7" ht="15" x14ac:dyDescent="0.25">
      <c r="B12" s="147">
        <v>2004</v>
      </c>
      <c r="C12" s="66" t="s">
        <v>14</v>
      </c>
      <c r="D12" s="20">
        <f>820000</f>
        <v>820000</v>
      </c>
      <c r="E12" s="20">
        <v>840000</v>
      </c>
      <c r="F12" s="20">
        <v>860000</v>
      </c>
      <c r="G12" s="148">
        <v>880000</v>
      </c>
    </row>
    <row r="13" spans="2:7" ht="15.75" thickBot="1" x14ac:dyDescent="0.3">
      <c r="B13" s="147">
        <v>3017</v>
      </c>
      <c r="C13" s="66" t="s">
        <v>16</v>
      </c>
      <c r="D13" s="41">
        <v>12000</v>
      </c>
      <c r="E13" s="41">
        <v>12000</v>
      </c>
      <c r="F13" s="41">
        <v>12000</v>
      </c>
      <c r="G13" s="145">
        <v>12000</v>
      </c>
    </row>
    <row r="14" spans="2:7" ht="15.75" thickBot="1" x14ac:dyDescent="0.3">
      <c r="B14" s="59"/>
      <c r="C14" s="69" t="s">
        <v>195</v>
      </c>
      <c r="D14" s="109">
        <f>SUM(D10:D13)</f>
        <v>2392000</v>
      </c>
      <c r="E14" s="110">
        <f>SUM(E10:E13)</f>
        <v>2362000</v>
      </c>
      <c r="F14" s="111">
        <f>SUM(F10:F13)</f>
        <v>2432000</v>
      </c>
      <c r="G14" s="112">
        <f>SUM(G10:G13)</f>
        <v>2452000</v>
      </c>
    </row>
    <row r="15" spans="2:7" x14ac:dyDescent="0.2">
      <c r="B15" s="59"/>
      <c r="G15" s="60"/>
    </row>
    <row r="16" spans="2:7" x14ac:dyDescent="0.2">
      <c r="B16" s="257" t="s">
        <v>302</v>
      </c>
      <c r="C16" s="258"/>
      <c r="D16" s="259"/>
      <c r="E16" s="259"/>
      <c r="F16" s="259"/>
      <c r="G16" s="260"/>
    </row>
    <row r="17" spans="2:11" ht="15" x14ac:dyDescent="0.25">
      <c r="B17" s="149">
        <v>2007</v>
      </c>
      <c r="C17" s="83" t="s">
        <v>197</v>
      </c>
      <c r="D17" s="131">
        <f>3650000+130000</f>
        <v>3780000</v>
      </c>
      <c r="E17" s="20">
        <f>D17+130000</f>
        <v>3910000</v>
      </c>
      <c r="F17" s="20">
        <f>E17+130000</f>
        <v>4040000</v>
      </c>
      <c r="G17" s="148">
        <f>F17+130000</f>
        <v>4170000</v>
      </c>
    </row>
    <row r="18" spans="2:11" ht="15" x14ac:dyDescent="0.25">
      <c r="B18" s="149">
        <v>2136</v>
      </c>
      <c r="C18" s="83" t="s">
        <v>269</v>
      </c>
      <c r="D18" s="131">
        <f>260000+20000</f>
        <v>280000</v>
      </c>
      <c r="E18" s="20">
        <f>D18+20000</f>
        <v>300000</v>
      </c>
      <c r="F18" s="20">
        <f>E18+20000</f>
        <v>320000</v>
      </c>
      <c r="G18" s="148">
        <f>F18+20000</f>
        <v>340000</v>
      </c>
    </row>
    <row r="19" spans="2:11" ht="15" x14ac:dyDescent="0.25">
      <c r="B19" s="149">
        <v>3003</v>
      </c>
      <c r="C19" s="83" t="s">
        <v>198</v>
      </c>
      <c r="D19" s="131">
        <v>10000</v>
      </c>
      <c r="E19" s="20">
        <v>10000</v>
      </c>
      <c r="F19" s="20">
        <v>10000</v>
      </c>
      <c r="G19" s="148">
        <v>10000</v>
      </c>
      <c r="H19" s="21"/>
    </row>
    <row r="20" spans="2:11" ht="15" x14ac:dyDescent="0.25">
      <c r="B20" s="150">
        <v>3020</v>
      </c>
      <c r="C20" s="83" t="s">
        <v>199</v>
      </c>
      <c r="D20" s="131">
        <f>200000+60000+55000+147500</f>
        <v>462500</v>
      </c>
      <c r="E20" s="20">
        <f>147500+20000</f>
        <v>167500</v>
      </c>
      <c r="F20" s="20">
        <f>E20+20000</f>
        <v>187500</v>
      </c>
      <c r="G20" s="148">
        <f>F20+20000</f>
        <v>207500</v>
      </c>
      <c r="H20" s="22"/>
      <c r="I20" s="22"/>
      <c r="J20" s="22"/>
      <c r="K20" s="22"/>
    </row>
    <row r="21" spans="2:11" ht="15" x14ac:dyDescent="0.25">
      <c r="B21" s="150">
        <v>3021</v>
      </c>
      <c r="C21" s="83" t="s">
        <v>200</v>
      </c>
      <c r="D21" s="131">
        <f>150000+80000</f>
        <v>230000</v>
      </c>
      <c r="E21" s="20">
        <v>300000</v>
      </c>
      <c r="F21" s="20">
        <v>250000</v>
      </c>
      <c r="G21" s="148">
        <v>250000</v>
      </c>
    </row>
    <row r="22" spans="2:11" ht="15" x14ac:dyDescent="0.25">
      <c r="B22" s="150">
        <v>3024</v>
      </c>
      <c r="C22" s="83" t="s">
        <v>201</v>
      </c>
      <c r="D22" s="131">
        <v>10000</v>
      </c>
      <c r="E22" s="20">
        <v>10000</v>
      </c>
      <c r="F22" s="20">
        <v>10000</v>
      </c>
      <c r="G22" s="148">
        <v>10000</v>
      </c>
    </row>
    <row r="23" spans="2:11" ht="15" x14ac:dyDescent="0.25">
      <c r="B23" s="150">
        <v>3025</v>
      </c>
      <c r="C23" s="83" t="s">
        <v>202</v>
      </c>
      <c r="D23" s="131">
        <v>300000</v>
      </c>
      <c r="E23" s="20">
        <v>240000</v>
      </c>
      <c r="F23" s="20">
        <v>150000</v>
      </c>
      <c r="G23" s="148">
        <v>150000</v>
      </c>
    </row>
    <row r="24" spans="2:11" ht="15.75" thickBot="1" x14ac:dyDescent="0.3">
      <c r="B24" s="150">
        <v>2096</v>
      </c>
      <c r="C24" s="83" t="s">
        <v>203</v>
      </c>
      <c r="D24" s="132">
        <v>30000</v>
      </c>
      <c r="E24" s="41">
        <v>10000</v>
      </c>
      <c r="F24" s="41">
        <v>10000</v>
      </c>
      <c r="G24" s="145">
        <v>10000</v>
      </c>
    </row>
    <row r="25" spans="2:11" ht="15.75" thickBot="1" x14ac:dyDescent="0.3">
      <c r="B25" s="59"/>
      <c r="C25" s="69" t="s">
        <v>195</v>
      </c>
      <c r="D25" s="109">
        <f>SUM(D17:D24)</f>
        <v>5102500</v>
      </c>
      <c r="E25" s="110">
        <f>SUM(E17:E24)</f>
        <v>4947500</v>
      </c>
      <c r="F25" s="110">
        <f>SUM(F17:F24)</f>
        <v>4977500</v>
      </c>
      <c r="G25" s="112">
        <f>SUM(G17:G24)</f>
        <v>5147500</v>
      </c>
    </row>
    <row r="26" spans="2:11" x14ac:dyDescent="0.2">
      <c r="B26" s="59"/>
      <c r="G26" s="60"/>
    </row>
    <row r="27" spans="2:11" x14ac:dyDescent="0.2">
      <c r="B27" s="257" t="s">
        <v>303</v>
      </c>
      <c r="C27" s="258"/>
      <c r="D27" s="258"/>
      <c r="E27" s="258"/>
      <c r="F27" s="258"/>
      <c r="G27" s="267"/>
    </row>
    <row r="28" spans="2:11" ht="15" x14ac:dyDescent="0.25">
      <c r="B28" s="147">
        <v>2011</v>
      </c>
      <c r="C28" s="66" t="s">
        <v>204</v>
      </c>
      <c r="D28" s="20">
        <f>900000+55000</f>
        <v>955000</v>
      </c>
      <c r="E28" s="20">
        <f>D28+55000</f>
        <v>1010000</v>
      </c>
      <c r="F28" s="20">
        <f>E28+55000</f>
        <v>1065000</v>
      </c>
      <c r="G28" s="148">
        <f>F28+55000</f>
        <v>1120000</v>
      </c>
    </row>
    <row r="29" spans="2:11" ht="15" x14ac:dyDescent="0.25">
      <c r="B29" s="147">
        <v>2013</v>
      </c>
      <c r="C29" s="66" t="s">
        <v>324</v>
      </c>
      <c r="D29" s="20">
        <f>1100000+50000</f>
        <v>1150000</v>
      </c>
      <c r="E29" s="20">
        <f t="shared" ref="E29:G30" si="0">D29+50000</f>
        <v>1200000</v>
      </c>
      <c r="F29" s="20">
        <f t="shared" si="0"/>
        <v>1250000</v>
      </c>
      <c r="G29" s="148">
        <f t="shared" si="0"/>
        <v>1300000</v>
      </c>
    </row>
    <row r="30" spans="2:11" ht="15" x14ac:dyDescent="0.25">
      <c r="B30" s="147">
        <v>2014</v>
      </c>
      <c r="C30" s="66" t="s">
        <v>206</v>
      </c>
      <c r="D30" s="20">
        <f>2700000+50000</f>
        <v>2750000</v>
      </c>
      <c r="E30" s="20">
        <f t="shared" si="0"/>
        <v>2800000</v>
      </c>
      <c r="F30" s="20">
        <f t="shared" si="0"/>
        <v>2850000</v>
      </c>
      <c r="G30" s="148">
        <f t="shared" si="0"/>
        <v>2900000</v>
      </c>
    </row>
    <row r="31" spans="2:11" ht="15.75" thickBot="1" x14ac:dyDescent="0.3">
      <c r="B31" s="147">
        <v>3027</v>
      </c>
      <c r="C31" s="66" t="s">
        <v>208</v>
      </c>
      <c r="D31" s="41">
        <v>10000</v>
      </c>
      <c r="E31" s="41">
        <v>10000</v>
      </c>
      <c r="F31" s="41">
        <v>10000</v>
      </c>
      <c r="G31" s="145">
        <v>10000</v>
      </c>
    </row>
    <row r="32" spans="2:11" ht="13.5" thickBot="1" x14ac:dyDescent="0.25">
      <c r="B32" s="62"/>
      <c r="C32" s="151" t="s">
        <v>195</v>
      </c>
      <c r="D32" s="113">
        <f>SUM(D28:D31)</f>
        <v>4865000</v>
      </c>
      <c r="E32" s="114">
        <f>SUM(E28:E31)</f>
        <v>5020000</v>
      </c>
      <c r="F32" s="115">
        <f>SUM(F28:F31)</f>
        <v>5175000</v>
      </c>
      <c r="G32" s="116">
        <f>SUM(G28:G31)</f>
        <v>5330000</v>
      </c>
    </row>
    <row r="33" spans="2:11" ht="13.5" thickBot="1" x14ac:dyDescent="0.25"/>
    <row r="34" spans="2:11" x14ac:dyDescent="0.2">
      <c r="B34" s="268" t="s">
        <v>304</v>
      </c>
      <c r="C34" s="269"/>
      <c r="D34" s="269"/>
      <c r="E34" s="269"/>
      <c r="F34" s="269"/>
      <c r="G34" s="270"/>
    </row>
    <row r="35" spans="2:11" ht="15" x14ac:dyDescent="0.25">
      <c r="B35" s="149">
        <v>2020</v>
      </c>
      <c r="C35" s="83" t="s">
        <v>209</v>
      </c>
      <c r="D35" s="131">
        <f>2900000+200000</f>
        <v>3100000</v>
      </c>
      <c r="E35" s="20">
        <v>3300000</v>
      </c>
      <c r="F35" s="20">
        <v>3500000</v>
      </c>
      <c r="G35" s="148">
        <v>3700000</v>
      </c>
    </row>
    <row r="36" spans="2:11" ht="15" x14ac:dyDescent="0.25">
      <c r="B36" s="149">
        <v>2098</v>
      </c>
      <c r="C36" s="83" t="s">
        <v>210</v>
      </c>
      <c r="D36" s="131">
        <f>2000000+200000</f>
        <v>2200000</v>
      </c>
      <c r="E36" s="20">
        <v>2400000</v>
      </c>
      <c r="F36" s="20">
        <v>2600000</v>
      </c>
      <c r="G36" s="148">
        <v>2800000</v>
      </c>
    </row>
    <row r="37" spans="2:11" ht="15" x14ac:dyDescent="0.25">
      <c r="B37" s="149">
        <v>2010</v>
      </c>
      <c r="C37" s="83" t="s">
        <v>214</v>
      </c>
      <c r="D37" s="131">
        <f>7800000</f>
        <v>7800000</v>
      </c>
      <c r="E37" s="20">
        <v>8000000</v>
      </c>
      <c r="F37" s="20">
        <v>8100000</v>
      </c>
      <c r="G37" s="148">
        <v>8200000</v>
      </c>
      <c r="H37" s="23"/>
    </row>
    <row r="38" spans="2:11" ht="15" x14ac:dyDescent="0.25">
      <c r="B38" s="149">
        <v>2015</v>
      </c>
      <c r="C38" s="83" t="s">
        <v>215</v>
      </c>
      <c r="D38" s="131">
        <f>5900000</f>
        <v>5900000</v>
      </c>
      <c r="E38" s="20">
        <v>6100000</v>
      </c>
      <c r="F38" s="20">
        <v>6200000</v>
      </c>
      <c r="G38" s="148">
        <v>6300000</v>
      </c>
      <c r="H38" s="24"/>
    </row>
    <row r="39" spans="2:11" ht="15" x14ac:dyDescent="0.25">
      <c r="B39" s="149">
        <v>2009</v>
      </c>
      <c r="C39" s="83" t="s">
        <v>216</v>
      </c>
      <c r="D39" s="131">
        <f>480000+50000</f>
        <v>530000</v>
      </c>
      <c r="E39" s="20">
        <v>580000</v>
      </c>
      <c r="F39" s="20">
        <v>630000</v>
      </c>
      <c r="G39" s="148">
        <v>680000</v>
      </c>
      <c r="H39" s="24"/>
      <c r="I39" s="24"/>
      <c r="J39" s="24"/>
      <c r="K39" s="24"/>
    </row>
    <row r="40" spans="2:11" ht="15" x14ac:dyDescent="0.25">
      <c r="B40" s="149">
        <v>2027</v>
      </c>
      <c r="C40" s="83" t="s">
        <v>217</v>
      </c>
      <c r="D40" s="131">
        <f>4115000+250000-15000</f>
        <v>4350000</v>
      </c>
      <c r="E40" s="20">
        <v>4650000</v>
      </c>
      <c r="F40" s="20">
        <f>E40+250000</f>
        <v>4900000</v>
      </c>
      <c r="G40" s="148">
        <f>F40+250000</f>
        <v>5150000</v>
      </c>
      <c r="H40" s="24"/>
    </row>
    <row r="41" spans="2:11" ht="15" x14ac:dyDescent="0.25">
      <c r="B41" s="149">
        <v>2016</v>
      </c>
      <c r="C41" s="83" t="s">
        <v>218</v>
      </c>
      <c r="D41" s="131">
        <f>470000+220000</f>
        <v>690000</v>
      </c>
      <c r="E41" s="20">
        <f>D41+220000</f>
        <v>910000</v>
      </c>
      <c r="F41" s="20">
        <f>E41+220000</f>
        <v>1130000</v>
      </c>
      <c r="G41" s="148">
        <f>F41+220000</f>
        <v>1350000</v>
      </c>
      <c r="H41" s="23"/>
    </row>
    <row r="42" spans="2:11" ht="15" x14ac:dyDescent="0.25">
      <c r="B42" s="149">
        <v>2022</v>
      </c>
      <c r="C42" s="83" t="s">
        <v>219</v>
      </c>
      <c r="D42" s="131">
        <v>7900000</v>
      </c>
      <c r="E42" s="20">
        <f>D42+150000</f>
        <v>8050000</v>
      </c>
      <c r="F42" s="20">
        <f>E42+1200000</f>
        <v>9250000</v>
      </c>
      <c r="G42" s="148">
        <f>F42+120000</f>
        <v>9370000</v>
      </c>
      <c r="H42" s="23"/>
    </row>
    <row r="43" spans="2:11" ht="15" x14ac:dyDescent="0.25">
      <c r="B43" s="149">
        <v>2023</v>
      </c>
      <c r="C43" s="83" t="s">
        <v>220</v>
      </c>
      <c r="D43" s="131">
        <f>11500000</f>
        <v>11500000</v>
      </c>
      <c r="E43" s="20">
        <f>D43+300000</f>
        <v>11800000</v>
      </c>
      <c r="F43" s="20">
        <f>E43+150000</f>
        <v>11950000</v>
      </c>
      <c r="G43" s="148">
        <f>F43+200000</f>
        <v>12150000</v>
      </c>
    </row>
    <row r="44" spans="2:11" ht="15" x14ac:dyDescent="0.25">
      <c r="B44" s="149">
        <v>2024</v>
      </c>
      <c r="C44" s="83" t="s">
        <v>221</v>
      </c>
      <c r="D44" s="131">
        <v>1150000</v>
      </c>
      <c r="E44" s="20">
        <v>1100000</v>
      </c>
      <c r="F44" s="20">
        <v>1100000</v>
      </c>
      <c r="G44" s="148">
        <v>1250000</v>
      </c>
    </row>
    <row r="45" spans="2:11" ht="15" x14ac:dyDescent="0.25">
      <c r="B45" s="149">
        <v>2025</v>
      </c>
      <c r="C45" s="83" t="s">
        <v>211</v>
      </c>
      <c r="D45" s="131">
        <f>340000+10000</f>
        <v>350000</v>
      </c>
      <c r="E45" s="20">
        <v>360000</v>
      </c>
      <c r="F45" s="20">
        <v>370000</v>
      </c>
      <c r="G45" s="148">
        <v>380000</v>
      </c>
    </row>
    <row r="46" spans="2:11" ht="15" x14ac:dyDescent="0.25">
      <c r="B46" s="149">
        <v>2026</v>
      </c>
      <c r="C46" s="83" t="s">
        <v>222</v>
      </c>
      <c r="D46" s="131">
        <f>950000+10000</f>
        <v>960000</v>
      </c>
      <c r="E46" s="20">
        <v>970000</v>
      </c>
      <c r="F46" s="20">
        <v>980000</v>
      </c>
      <c r="G46" s="148">
        <v>990000</v>
      </c>
    </row>
    <row r="47" spans="2:11" ht="15" x14ac:dyDescent="0.25">
      <c r="B47" s="149">
        <v>2029</v>
      </c>
      <c r="C47" s="83" t="s">
        <v>223</v>
      </c>
      <c r="D47" s="131">
        <f>1050000+50000</f>
        <v>1100000</v>
      </c>
      <c r="E47" s="20">
        <v>1150000</v>
      </c>
      <c r="F47" s="20">
        <v>1200000</v>
      </c>
      <c r="G47" s="148">
        <v>1250000</v>
      </c>
    </row>
    <row r="48" spans="2:11" ht="15" x14ac:dyDescent="0.25">
      <c r="B48" s="149">
        <v>2034</v>
      </c>
      <c r="C48" s="83" t="s">
        <v>226</v>
      </c>
      <c r="D48" s="131">
        <v>610000</v>
      </c>
      <c r="E48" s="20">
        <v>620000</v>
      </c>
      <c r="F48" s="20">
        <v>630000</v>
      </c>
      <c r="G48" s="148">
        <v>640000</v>
      </c>
    </row>
    <row r="49" spans="2:12" ht="15" x14ac:dyDescent="0.25">
      <c r="B49" s="149">
        <v>2137</v>
      </c>
      <c r="C49" s="83" t="s">
        <v>270</v>
      </c>
      <c r="D49" s="131">
        <v>10000</v>
      </c>
      <c r="E49" s="20">
        <v>10000</v>
      </c>
      <c r="F49" s="20">
        <v>10000</v>
      </c>
      <c r="G49" s="148">
        <v>10000</v>
      </c>
    </row>
    <row r="50" spans="2:12" ht="15" x14ac:dyDescent="0.25">
      <c r="B50" s="149">
        <v>2099</v>
      </c>
      <c r="C50" s="83" t="s">
        <v>212</v>
      </c>
      <c r="D50" s="131">
        <v>10000</v>
      </c>
      <c r="E50" s="20">
        <v>10000</v>
      </c>
      <c r="F50" s="20">
        <v>10000</v>
      </c>
      <c r="G50" s="148">
        <v>10000</v>
      </c>
    </row>
    <row r="51" spans="2:12" ht="15" x14ac:dyDescent="0.25">
      <c r="B51" s="149">
        <v>2028</v>
      </c>
      <c r="C51" s="83" t="s">
        <v>213</v>
      </c>
      <c r="D51" s="131">
        <f>660000+10000</f>
        <v>670000</v>
      </c>
      <c r="E51" s="20">
        <v>680000</v>
      </c>
      <c r="F51" s="20">
        <v>690000</v>
      </c>
      <c r="G51" s="148">
        <v>700000</v>
      </c>
      <c r="H51" s="23"/>
    </row>
    <row r="52" spans="2:12" ht="15" x14ac:dyDescent="0.25">
      <c r="B52" s="149">
        <v>2040</v>
      </c>
      <c r="C52" s="83" t="s">
        <v>228</v>
      </c>
      <c r="D52" s="131">
        <f>1600000</f>
        <v>1600000</v>
      </c>
      <c r="E52" s="20">
        <v>1800000</v>
      </c>
      <c r="F52" s="20">
        <v>1900000</v>
      </c>
      <c r="G52" s="148">
        <v>2000000</v>
      </c>
    </row>
    <row r="53" spans="2:12" ht="15" x14ac:dyDescent="0.25">
      <c r="B53" s="149">
        <v>3020</v>
      </c>
      <c r="C53" s="83" t="s">
        <v>229</v>
      </c>
      <c r="D53" s="131">
        <f>100000+10000</f>
        <v>110000</v>
      </c>
      <c r="E53" s="20">
        <v>10000</v>
      </c>
      <c r="F53" s="20">
        <v>10000</v>
      </c>
      <c r="G53" s="148">
        <v>10000</v>
      </c>
    </row>
    <row r="54" spans="2:12" ht="15" x14ac:dyDescent="0.25">
      <c r="B54" s="149">
        <v>3020</v>
      </c>
      <c r="C54" s="83" t="s">
        <v>230</v>
      </c>
      <c r="D54" s="131">
        <f>100000+10000</f>
        <v>110000</v>
      </c>
      <c r="E54" s="20">
        <v>10000</v>
      </c>
      <c r="F54" s="20">
        <v>10000</v>
      </c>
      <c r="G54" s="148">
        <v>10000</v>
      </c>
    </row>
    <row r="55" spans="2:12" ht="15.75" thickBot="1" x14ac:dyDescent="0.3">
      <c r="B55" s="149">
        <v>3020</v>
      </c>
      <c r="C55" s="83" t="s">
        <v>231</v>
      </c>
      <c r="D55" s="132">
        <v>10000</v>
      </c>
      <c r="E55" s="41">
        <v>10000</v>
      </c>
      <c r="F55" s="41">
        <v>10000</v>
      </c>
      <c r="G55" s="145">
        <v>10000</v>
      </c>
      <c r="I55" s="45"/>
      <c r="J55" s="45"/>
      <c r="K55" s="45"/>
      <c r="L55" s="45"/>
    </row>
    <row r="56" spans="2:12" ht="13.5" thickBot="1" x14ac:dyDescent="0.25">
      <c r="B56" s="62"/>
      <c r="C56" s="151" t="s">
        <v>195</v>
      </c>
      <c r="D56" s="113">
        <f>SUM(D35:D55)</f>
        <v>50660000</v>
      </c>
      <c r="E56" s="114">
        <f>SUM(E35:E55)</f>
        <v>52520000</v>
      </c>
      <c r="F56" s="117">
        <f>SUM(F35:F55)</f>
        <v>55180000</v>
      </c>
      <c r="G56" s="118">
        <f>SUM(G35:G55)</f>
        <v>56960000</v>
      </c>
    </row>
    <row r="57" spans="2:12" ht="13.5" thickBot="1" x14ac:dyDescent="0.25">
      <c r="C57" s="46"/>
      <c r="D57" s="48"/>
      <c r="E57" s="48"/>
      <c r="F57" s="49"/>
      <c r="G57" s="48"/>
    </row>
    <row r="58" spans="2:12" ht="12.75" customHeight="1" x14ac:dyDescent="0.2">
      <c r="B58" s="268" t="s">
        <v>305</v>
      </c>
      <c r="C58" s="269"/>
      <c r="D58" s="269"/>
      <c r="E58" s="269"/>
      <c r="F58" s="269"/>
      <c r="G58" s="270"/>
    </row>
    <row r="59" spans="2:12" ht="15" x14ac:dyDescent="0.25">
      <c r="B59" s="147">
        <v>2041</v>
      </c>
      <c r="C59" s="66" t="s">
        <v>232</v>
      </c>
      <c r="D59" s="20">
        <f>6900000+200000+150000</f>
        <v>7250000</v>
      </c>
      <c r="E59" s="20">
        <f>D59+150000</f>
        <v>7400000</v>
      </c>
      <c r="F59" s="20">
        <f>E59+150000</f>
        <v>7550000</v>
      </c>
      <c r="G59" s="148">
        <f>F59+150000</f>
        <v>7700000</v>
      </c>
    </row>
    <row r="60" spans="2:12" ht="15" x14ac:dyDescent="0.25">
      <c r="B60" s="147">
        <v>2042</v>
      </c>
      <c r="C60" s="66" t="s">
        <v>233</v>
      </c>
      <c r="D60" s="20">
        <v>6500000</v>
      </c>
      <c r="E60" s="20">
        <v>5500000</v>
      </c>
      <c r="F60" s="20">
        <v>5500000</v>
      </c>
      <c r="G60" s="148">
        <v>1500000</v>
      </c>
    </row>
    <row r="61" spans="2:12" ht="15" x14ac:dyDescent="0.25">
      <c r="B61" s="147">
        <v>2044</v>
      </c>
      <c r="C61" s="66" t="s">
        <v>234</v>
      </c>
      <c r="D61" s="20">
        <f>1200000+100000</f>
        <v>1300000</v>
      </c>
      <c r="E61" s="20">
        <f>D61+100000</f>
        <v>1400000</v>
      </c>
      <c r="F61" s="20">
        <f>E61+100000</f>
        <v>1500000</v>
      </c>
      <c r="G61" s="148">
        <f>F61+100000</f>
        <v>1600000</v>
      </c>
    </row>
    <row r="62" spans="2:12" ht="15" x14ac:dyDescent="0.25">
      <c r="B62" s="147">
        <v>2045</v>
      </c>
      <c r="C62" s="66" t="s">
        <v>235</v>
      </c>
      <c r="D62" s="20">
        <f>2200000+50000</f>
        <v>2250000</v>
      </c>
      <c r="E62" s="20">
        <f>D62+50000</f>
        <v>2300000</v>
      </c>
      <c r="F62" s="20">
        <f>E62+50000</f>
        <v>2350000</v>
      </c>
      <c r="G62" s="148">
        <f>F62+50000</f>
        <v>2400000</v>
      </c>
      <c r="J62" s="1">
        <v>2047</v>
      </c>
    </row>
    <row r="63" spans="2:12" ht="15" x14ac:dyDescent="0.25">
      <c r="B63" s="147">
        <v>2046</v>
      </c>
      <c r="C63" s="66" t="s">
        <v>313</v>
      </c>
      <c r="D63" s="20">
        <f>150000+350000</f>
        <v>500000</v>
      </c>
      <c r="E63" s="20">
        <f>150000+400000</f>
        <v>550000</v>
      </c>
      <c r="F63" s="20">
        <f>150000+450000</f>
        <v>600000</v>
      </c>
      <c r="G63" s="148">
        <f>150000+500000</f>
        <v>650000</v>
      </c>
    </row>
    <row r="64" spans="2:12" ht="15" x14ac:dyDescent="0.25">
      <c r="B64" s="147">
        <v>2047</v>
      </c>
      <c r="C64" s="66" t="s">
        <v>236</v>
      </c>
      <c r="D64" s="20">
        <f>850000+50000</f>
        <v>900000</v>
      </c>
      <c r="E64" s="20">
        <f>D64+100000</f>
        <v>1000000</v>
      </c>
      <c r="F64" s="20">
        <f>E64+100000</f>
        <v>1100000</v>
      </c>
      <c r="G64" s="148">
        <f>F64+100000</f>
        <v>1200000</v>
      </c>
    </row>
    <row r="65" spans="2:8" ht="15.75" thickBot="1" x14ac:dyDescent="0.3">
      <c r="B65" s="155">
        <v>3012</v>
      </c>
      <c r="C65" s="66" t="s">
        <v>237</v>
      </c>
      <c r="D65" s="41">
        <v>200000</v>
      </c>
      <c r="E65" s="41">
        <v>200000</v>
      </c>
      <c r="F65" s="41">
        <v>200000</v>
      </c>
      <c r="G65" s="145">
        <v>200000</v>
      </c>
    </row>
    <row r="66" spans="2:8" ht="15.75" thickBot="1" x14ac:dyDescent="0.3">
      <c r="B66" s="59"/>
      <c r="C66" s="69" t="s">
        <v>195</v>
      </c>
      <c r="D66" s="109">
        <f>SUM(D59:D65)</f>
        <v>18900000</v>
      </c>
      <c r="E66" s="110">
        <f>SUM(E59:E65)</f>
        <v>18350000</v>
      </c>
      <c r="F66" s="110">
        <f>SUM(F59:F65)</f>
        <v>18800000</v>
      </c>
      <c r="G66" s="112">
        <f>SUM(G59:G65)</f>
        <v>15250000</v>
      </c>
    </row>
    <row r="67" spans="2:8" ht="15" x14ac:dyDescent="0.25">
      <c r="B67" s="59"/>
      <c r="C67" s="69"/>
      <c r="D67" s="24"/>
      <c r="E67" s="24"/>
      <c r="F67" s="32"/>
      <c r="G67" s="156"/>
    </row>
    <row r="68" spans="2:8" x14ac:dyDescent="0.2">
      <c r="B68" s="257" t="s">
        <v>306</v>
      </c>
      <c r="C68" s="258"/>
      <c r="D68" s="258"/>
      <c r="E68" s="258"/>
      <c r="F68" s="258"/>
      <c r="G68" s="267"/>
    </row>
    <row r="69" spans="2:8" ht="15" x14ac:dyDescent="0.25">
      <c r="B69" s="147">
        <v>2048</v>
      </c>
      <c r="C69" s="66" t="s">
        <v>238</v>
      </c>
      <c r="D69" s="20">
        <f>1200000+50000</f>
        <v>1250000</v>
      </c>
      <c r="E69" s="20">
        <f>D69+50000</f>
        <v>1300000</v>
      </c>
      <c r="F69" s="20">
        <f>E69+50000</f>
        <v>1350000</v>
      </c>
      <c r="G69" s="148">
        <f>F69+50000</f>
        <v>1400000</v>
      </c>
    </row>
    <row r="70" spans="2:8" ht="15" x14ac:dyDescent="0.25">
      <c r="B70" s="147">
        <v>2050</v>
      </c>
      <c r="C70" s="66" t="s">
        <v>239</v>
      </c>
      <c r="D70" s="20">
        <v>6000</v>
      </c>
      <c r="E70" s="20">
        <v>6000</v>
      </c>
      <c r="F70" s="20">
        <v>6000</v>
      </c>
      <c r="G70" s="148">
        <v>6000</v>
      </c>
    </row>
    <row r="71" spans="2:8" ht="15" x14ac:dyDescent="0.25">
      <c r="B71" s="147">
        <v>2051</v>
      </c>
      <c r="C71" s="66" t="s">
        <v>240</v>
      </c>
      <c r="D71" s="20">
        <f>2800000+150000</f>
        <v>2950000</v>
      </c>
      <c r="E71" s="20">
        <f>D71+150000</f>
        <v>3100000</v>
      </c>
      <c r="F71" s="20">
        <f>E71+150000</f>
        <v>3250000</v>
      </c>
      <c r="G71" s="148">
        <f>F71+150000</f>
        <v>3400000</v>
      </c>
    </row>
    <row r="72" spans="2:8" ht="15" x14ac:dyDescent="0.25">
      <c r="B72" s="147">
        <v>2053</v>
      </c>
      <c r="C72" s="66" t="s">
        <v>299</v>
      </c>
      <c r="D72" s="20">
        <f>30000+20000</f>
        <v>50000</v>
      </c>
      <c r="E72" s="20">
        <f>D72+10000</f>
        <v>60000</v>
      </c>
      <c r="F72" s="20">
        <f>E72+10000</f>
        <v>70000</v>
      </c>
      <c r="G72" s="148">
        <f>F72+10000</f>
        <v>80000</v>
      </c>
    </row>
    <row r="73" spans="2:8" ht="15" x14ac:dyDescent="0.25">
      <c r="B73" s="147">
        <v>2054</v>
      </c>
      <c r="C73" s="68" t="s">
        <v>241</v>
      </c>
      <c r="D73" s="20">
        <v>8000</v>
      </c>
      <c r="E73" s="20">
        <v>8000</v>
      </c>
      <c r="F73" s="20">
        <v>8000</v>
      </c>
      <c r="G73" s="148">
        <v>8000</v>
      </c>
    </row>
    <row r="74" spans="2:8" ht="15" x14ac:dyDescent="0.25">
      <c r="B74" s="147">
        <v>2052</v>
      </c>
      <c r="C74" s="66" t="s">
        <v>242</v>
      </c>
      <c r="D74" s="20">
        <v>200000</v>
      </c>
      <c r="E74" s="20">
        <v>120000</v>
      </c>
      <c r="F74" s="20">
        <v>120000</v>
      </c>
      <c r="G74" s="148">
        <v>150000</v>
      </c>
    </row>
    <row r="75" spans="2:8" ht="15.75" thickBot="1" x14ac:dyDescent="0.3">
      <c r="B75" s="147">
        <v>3028</v>
      </c>
      <c r="C75" s="66" t="s">
        <v>243</v>
      </c>
      <c r="D75" s="41">
        <v>50000</v>
      </c>
      <c r="E75" s="41">
        <v>50000</v>
      </c>
      <c r="F75" s="41">
        <v>50000</v>
      </c>
      <c r="G75" s="145">
        <v>50000</v>
      </c>
    </row>
    <row r="76" spans="2:8" ht="15.75" thickBot="1" x14ac:dyDescent="0.3">
      <c r="B76" s="59"/>
      <c r="C76" s="69" t="s">
        <v>195</v>
      </c>
      <c r="D76" s="109">
        <f>SUM(D69:D75)</f>
        <v>4514000</v>
      </c>
      <c r="E76" s="110">
        <f>SUM(E69:E75)</f>
        <v>4644000</v>
      </c>
      <c r="F76" s="110">
        <f>SUM(F69:F75)</f>
        <v>4854000</v>
      </c>
      <c r="G76" s="112">
        <f>SUM(G69:G75)</f>
        <v>5094000</v>
      </c>
      <c r="H76" s="23"/>
    </row>
    <row r="77" spans="2:8" x14ac:dyDescent="0.2">
      <c r="B77" s="59"/>
      <c r="F77" s="1"/>
      <c r="G77" s="60"/>
    </row>
    <row r="78" spans="2:8" x14ac:dyDescent="0.2">
      <c r="B78" s="257" t="s">
        <v>307</v>
      </c>
      <c r="C78" s="258"/>
      <c r="D78" s="258"/>
      <c r="E78" s="258"/>
      <c r="F78" s="258"/>
      <c r="G78" s="267"/>
    </row>
    <row r="79" spans="2:8" ht="15" x14ac:dyDescent="0.25">
      <c r="B79" s="147">
        <v>2057</v>
      </c>
      <c r="C79" s="66" t="s">
        <v>244</v>
      </c>
      <c r="D79" s="20">
        <f>1500000+40000</f>
        <v>1540000</v>
      </c>
      <c r="E79" s="20">
        <f>D79+40000</f>
        <v>1580000</v>
      </c>
      <c r="F79" s="20">
        <f>E79+40000</f>
        <v>1620000</v>
      </c>
      <c r="G79" s="148">
        <f>F79+40000</f>
        <v>1660000</v>
      </c>
    </row>
    <row r="80" spans="2:8" ht="15" x14ac:dyDescent="0.25">
      <c r="B80" s="147">
        <v>2093</v>
      </c>
      <c r="C80" s="66" t="s">
        <v>245</v>
      </c>
      <c r="D80" s="20">
        <f>250000+30000</f>
        <v>280000</v>
      </c>
      <c r="E80" s="20">
        <f>D80+30000</f>
        <v>310000</v>
      </c>
      <c r="F80" s="20">
        <f>E80+30000</f>
        <v>340000</v>
      </c>
      <c r="G80" s="148">
        <f>F80+30000</f>
        <v>370000</v>
      </c>
    </row>
    <row r="81" spans="2:10" ht="15" x14ac:dyDescent="0.25">
      <c r="B81" s="147">
        <v>2059</v>
      </c>
      <c r="C81" s="66" t="s">
        <v>246</v>
      </c>
      <c r="D81" s="20">
        <v>50000</v>
      </c>
      <c r="E81" s="20">
        <v>50000</v>
      </c>
      <c r="F81" s="20">
        <v>50000</v>
      </c>
      <c r="G81" s="148">
        <v>50000</v>
      </c>
    </row>
    <row r="82" spans="2:10" ht="15" x14ac:dyDescent="0.25">
      <c r="B82" s="147">
        <v>2060</v>
      </c>
      <c r="C82" s="66" t="s">
        <v>280</v>
      </c>
      <c r="D82" s="20">
        <f>5000000+780000+100000</f>
        <v>5880000</v>
      </c>
      <c r="E82" s="20">
        <f>D82+100000</f>
        <v>5980000</v>
      </c>
      <c r="F82" s="20">
        <f>E82+100000</f>
        <v>6080000</v>
      </c>
      <c r="G82" s="148">
        <f>F82+100000</f>
        <v>6180000</v>
      </c>
    </row>
    <row r="83" spans="2:10" ht="15.75" thickBot="1" x14ac:dyDescent="0.3">
      <c r="B83" s="157">
        <v>6</v>
      </c>
      <c r="C83" s="158" t="s">
        <v>41</v>
      </c>
      <c r="D83" s="159">
        <f>2300000+500000+300000</f>
        <v>3100000</v>
      </c>
      <c r="E83" s="159">
        <f>D83+200000</f>
        <v>3300000</v>
      </c>
      <c r="F83" s="159">
        <f>E83+200000</f>
        <v>3500000</v>
      </c>
      <c r="G83" s="160">
        <f>F83+200000</f>
        <v>3700000</v>
      </c>
      <c r="J83" s="1">
        <v>2101</v>
      </c>
    </row>
    <row r="84" spans="2:10" ht="13.5" thickBot="1" x14ac:dyDescent="0.25">
      <c r="C84" s="69" t="s">
        <v>195</v>
      </c>
      <c r="D84" s="152">
        <f>SUM(D79:D83)</f>
        <v>10850000</v>
      </c>
      <c r="E84" s="153">
        <f>SUM(E79:E83)</f>
        <v>11220000</v>
      </c>
      <c r="F84" s="153">
        <f>SUM(F79:F83)</f>
        <v>11590000</v>
      </c>
      <c r="G84" s="154">
        <f>SUM(G79:G83)</f>
        <v>11960000</v>
      </c>
    </row>
    <row r="85" spans="2:10" ht="13.5" thickBot="1" x14ac:dyDescent="0.25"/>
    <row r="86" spans="2:10" ht="12.75" customHeight="1" x14ac:dyDescent="0.2">
      <c r="B86" s="268" t="s">
        <v>308</v>
      </c>
      <c r="C86" s="269"/>
      <c r="D86" s="269"/>
      <c r="E86" s="269"/>
      <c r="F86" s="269"/>
      <c r="G86" s="270"/>
    </row>
    <row r="87" spans="2:10" ht="15" x14ac:dyDescent="0.25">
      <c r="B87" s="162">
        <v>2061</v>
      </c>
      <c r="C87" s="71" t="s">
        <v>247</v>
      </c>
      <c r="D87" s="43">
        <v>15300000</v>
      </c>
      <c r="E87" s="43">
        <v>15400000</v>
      </c>
      <c r="F87" s="44">
        <v>15500000</v>
      </c>
      <c r="G87" s="163">
        <v>15650000</v>
      </c>
      <c r="H87" s="23"/>
    </row>
    <row r="88" spans="2:10" ht="15" x14ac:dyDescent="0.25">
      <c r="B88" s="162">
        <v>2139</v>
      </c>
      <c r="C88" s="71" t="s">
        <v>298</v>
      </c>
      <c r="D88" s="43">
        <v>5000</v>
      </c>
      <c r="E88" s="43">
        <v>5000</v>
      </c>
      <c r="F88" s="43">
        <v>5000</v>
      </c>
      <c r="G88" s="163">
        <v>5000</v>
      </c>
      <c r="H88" s="23"/>
    </row>
    <row r="89" spans="2:10" ht="15" x14ac:dyDescent="0.25">
      <c r="B89" s="147">
        <v>2063</v>
      </c>
      <c r="C89" s="66" t="s">
        <v>248</v>
      </c>
      <c r="D89" s="20">
        <v>150000</v>
      </c>
      <c r="E89" s="20">
        <v>150000</v>
      </c>
      <c r="F89" s="20">
        <v>150000</v>
      </c>
      <c r="G89" s="148">
        <v>150000</v>
      </c>
    </row>
    <row r="90" spans="2:10" ht="15" x14ac:dyDescent="0.25">
      <c r="B90" s="147">
        <v>2065</v>
      </c>
      <c r="C90" s="66" t="s">
        <v>249</v>
      </c>
      <c r="D90" s="20">
        <v>3400000</v>
      </c>
      <c r="E90" s="20">
        <v>3700000</v>
      </c>
      <c r="F90" s="31">
        <v>4000000</v>
      </c>
      <c r="G90" s="148">
        <v>4300000</v>
      </c>
    </row>
    <row r="91" spans="2:10" ht="15" x14ac:dyDescent="0.25">
      <c r="B91" s="147">
        <v>2066</v>
      </c>
      <c r="C91" s="66" t="s">
        <v>250</v>
      </c>
      <c r="D91" s="20">
        <v>1000000</v>
      </c>
      <c r="E91" s="20">
        <v>500000</v>
      </c>
      <c r="F91" s="31">
        <v>600000</v>
      </c>
      <c r="G91" s="148">
        <v>400000</v>
      </c>
    </row>
    <row r="92" spans="2:10" ht="15" x14ac:dyDescent="0.25">
      <c r="B92" s="147">
        <v>2067</v>
      </c>
      <c r="C92" s="66" t="s">
        <v>251</v>
      </c>
      <c r="D92" s="20">
        <f>5200000-250000</f>
        <v>4950000</v>
      </c>
      <c r="E92" s="20">
        <v>6500000</v>
      </c>
      <c r="F92" s="31">
        <v>7500000</v>
      </c>
      <c r="G92" s="148">
        <v>8200000</v>
      </c>
    </row>
    <row r="93" spans="2:10" ht="15" x14ac:dyDescent="0.25">
      <c r="B93" s="164">
        <v>2071</v>
      </c>
      <c r="C93" s="72" t="s">
        <v>252</v>
      </c>
      <c r="D93" s="41">
        <v>1500000</v>
      </c>
      <c r="E93" s="41">
        <v>1700000</v>
      </c>
      <c r="F93" s="82">
        <v>1850000</v>
      </c>
      <c r="G93" s="145">
        <v>2000000</v>
      </c>
    </row>
    <row r="94" spans="2:10" ht="15" x14ac:dyDescent="0.25">
      <c r="B94" s="150">
        <v>2141</v>
      </c>
      <c r="C94" s="74" t="s">
        <v>317</v>
      </c>
      <c r="D94" s="42">
        <v>200000</v>
      </c>
      <c r="E94" s="42">
        <f>D94+10000</f>
        <v>210000</v>
      </c>
      <c r="F94" s="42">
        <f>E94+10000</f>
        <v>220000</v>
      </c>
      <c r="G94" s="165">
        <f>F94+10000</f>
        <v>230000</v>
      </c>
    </row>
    <row r="95" spans="2:10" ht="15" x14ac:dyDescent="0.25">
      <c r="B95" s="150">
        <v>2142</v>
      </c>
      <c r="C95" s="74" t="s">
        <v>318</v>
      </c>
      <c r="D95" s="42">
        <v>10000</v>
      </c>
      <c r="E95" s="42">
        <f t="shared" ref="E95:G96" si="1">D95+1000</f>
        <v>11000</v>
      </c>
      <c r="F95" s="42">
        <f t="shared" si="1"/>
        <v>12000</v>
      </c>
      <c r="G95" s="165">
        <f t="shared" si="1"/>
        <v>13000</v>
      </c>
    </row>
    <row r="96" spans="2:10" ht="15" x14ac:dyDescent="0.25">
      <c r="B96" s="150">
        <v>3043</v>
      </c>
      <c r="C96" s="74" t="s">
        <v>319</v>
      </c>
      <c r="D96" s="42">
        <v>10000</v>
      </c>
      <c r="E96" s="42">
        <f t="shared" si="1"/>
        <v>11000</v>
      </c>
      <c r="F96" s="42">
        <f t="shared" si="1"/>
        <v>12000</v>
      </c>
      <c r="G96" s="165">
        <f t="shared" si="1"/>
        <v>13000</v>
      </c>
    </row>
    <row r="97" spans="2:10" ht="15" x14ac:dyDescent="0.25">
      <c r="B97" s="150">
        <v>2165</v>
      </c>
      <c r="C97" s="74" t="s">
        <v>320</v>
      </c>
      <c r="D97" s="42">
        <v>30000</v>
      </c>
      <c r="E97" s="42">
        <f t="shared" ref="E97:G98" si="2">D97+5000</f>
        <v>35000</v>
      </c>
      <c r="F97" s="42">
        <f t="shared" si="2"/>
        <v>40000</v>
      </c>
      <c r="G97" s="165">
        <f t="shared" si="2"/>
        <v>45000</v>
      </c>
    </row>
    <row r="98" spans="2:10" ht="15" x14ac:dyDescent="0.25">
      <c r="B98" s="150">
        <v>2166</v>
      </c>
      <c r="C98" s="83" t="s">
        <v>330</v>
      </c>
      <c r="D98" s="42">
        <v>150000</v>
      </c>
      <c r="E98" s="42">
        <f t="shared" si="2"/>
        <v>155000</v>
      </c>
      <c r="F98" s="42">
        <f t="shared" si="2"/>
        <v>160000</v>
      </c>
      <c r="G98" s="165">
        <f t="shared" si="2"/>
        <v>165000</v>
      </c>
    </row>
    <row r="99" spans="2:10" ht="15.75" thickBot="1" x14ac:dyDescent="0.3">
      <c r="B99" s="150">
        <v>3044</v>
      </c>
      <c r="C99" s="74" t="s">
        <v>312</v>
      </c>
      <c r="D99" s="120">
        <v>8000</v>
      </c>
      <c r="E99" s="120">
        <f>D99+1000</f>
        <v>9000</v>
      </c>
      <c r="F99" s="120">
        <f>E99+1000</f>
        <v>10000</v>
      </c>
      <c r="G99" s="166">
        <f>F99+1000</f>
        <v>11000</v>
      </c>
    </row>
    <row r="100" spans="2:10" ht="15.75" thickBot="1" x14ac:dyDescent="0.3">
      <c r="B100" s="167"/>
      <c r="C100" s="69" t="s">
        <v>195</v>
      </c>
      <c r="D100" s="109">
        <f>SUM(D87:D99)</f>
        <v>26713000</v>
      </c>
      <c r="E100" s="121">
        <f>SUM(E87:E99)</f>
        <v>28386000</v>
      </c>
      <c r="F100" s="121">
        <f>SUM(F87:F99)</f>
        <v>30059000</v>
      </c>
      <c r="G100" s="122">
        <f>SUM(G87:G99)</f>
        <v>31182000</v>
      </c>
      <c r="H100" s="23">
        <f>SUM(D100:G100)</f>
        <v>116340000</v>
      </c>
    </row>
    <row r="101" spans="2:10" ht="15" x14ac:dyDescent="0.25">
      <c r="B101" s="167"/>
      <c r="C101" s="47" t="s">
        <v>287</v>
      </c>
      <c r="D101" s="24">
        <f>D87+D91+D92</f>
        <v>21250000</v>
      </c>
      <c r="E101" s="24">
        <f>E87+E91+E92</f>
        <v>22400000</v>
      </c>
      <c r="F101" s="24">
        <f>F87+F91+F92</f>
        <v>23600000</v>
      </c>
      <c r="G101" s="156">
        <f>G87+G91+G92</f>
        <v>24250000</v>
      </c>
      <c r="H101" s="23"/>
    </row>
    <row r="102" spans="2:10" ht="15" x14ac:dyDescent="0.25">
      <c r="B102" s="167"/>
      <c r="C102" s="46" t="s">
        <v>286</v>
      </c>
      <c r="D102" s="24">
        <v>19400000</v>
      </c>
      <c r="E102" s="24">
        <v>20000000</v>
      </c>
      <c r="F102" s="32">
        <v>20100000</v>
      </c>
      <c r="G102" s="156">
        <v>20700000</v>
      </c>
      <c r="H102" s="23">
        <f>SUM(D102:G102)</f>
        <v>80200000</v>
      </c>
    </row>
    <row r="103" spans="2:10" x14ac:dyDescent="0.2">
      <c r="B103" s="257" t="s">
        <v>309</v>
      </c>
      <c r="C103" s="258" t="s">
        <v>281</v>
      </c>
      <c r="D103" s="258"/>
      <c r="E103" s="258"/>
      <c r="F103" s="258"/>
      <c r="G103" s="267"/>
    </row>
    <row r="104" spans="2:10" ht="15" x14ac:dyDescent="0.25">
      <c r="B104" s="147">
        <v>2077</v>
      </c>
      <c r="C104" s="67" t="s">
        <v>254</v>
      </c>
      <c r="D104" s="20">
        <v>34000</v>
      </c>
      <c r="E104" s="20">
        <v>30000</v>
      </c>
      <c r="F104" s="20">
        <v>30000</v>
      </c>
      <c r="G104" s="148">
        <f>30000+59000</f>
        <v>89000</v>
      </c>
    </row>
    <row r="105" spans="2:10" ht="15" x14ac:dyDescent="0.25">
      <c r="B105" s="147">
        <v>2079</v>
      </c>
      <c r="C105" s="67" t="s">
        <v>314</v>
      </c>
      <c r="D105" s="20">
        <f>1100000-30000</f>
        <v>1070000</v>
      </c>
      <c r="E105" s="20">
        <f>D105-30000</f>
        <v>1040000</v>
      </c>
      <c r="F105" s="20">
        <f>E105-30000</f>
        <v>1010000</v>
      </c>
      <c r="G105" s="148">
        <f>F105-30000</f>
        <v>980000</v>
      </c>
    </row>
    <row r="106" spans="2:10" ht="15" x14ac:dyDescent="0.25">
      <c r="B106" s="147">
        <v>2080</v>
      </c>
      <c r="C106" s="67" t="s">
        <v>256</v>
      </c>
      <c r="D106" s="20">
        <v>100000</v>
      </c>
      <c r="E106" s="20">
        <v>100000</v>
      </c>
      <c r="F106" s="20">
        <f>100000+32000</f>
        <v>132000</v>
      </c>
      <c r="G106" s="148">
        <v>100000</v>
      </c>
    </row>
    <row r="107" spans="2:10" ht="15" x14ac:dyDescent="0.25">
      <c r="B107" s="147">
        <v>2081</v>
      </c>
      <c r="C107" s="67" t="s">
        <v>257</v>
      </c>
      <c r="D107" s="20">
        <v>15000</v>
      </c>
      <c r="E107" s="20">
        <v>15000</v>
      </c>
      <c r="F107" s="20">
        <v>15000</v>
      </c>
      <c r="G107" s="148">
        <v>15000</v>
      </c>
      <c r="J107" s="24"/>
    </row>
    <row r="108" spans="2:10" ht="15" x14ac:dyDescent="0.25">
      <c r="B108" s="147">
        <v>2083</v>
      </c>
      <c r="C108" s="66" t="s">
        <v>315</v>
      </c>
      <c r="D108" s="20">
        <v>5000</v>
      </c>
      <c r="E108" s="20">
        <v>5000</v>
      </c>
      <c r="F108" s="20">
        <v>5000</v>
      </c>
      <c r="G108" s="148">
        <v>5000</v>
      </c>
      <c r="H108" s="23"/>
    </row>
    <row r="109" spans="2:10" ht="15" x14ac:dyDescent="0.25">
      <c r="B109" s="164">
        <v>2102</v>
      </c>
      <c r="C109" s="73" t="s">
        <v>258</v>
      </c>
      <c r="D109" s="41">
        <v>75000</v>
      </c>
      <c r="E109" s="41">
        <f>50000+26000</f>
        <v>76000</v>
      </c>
      <c r="F109" s="41">
        <v>30000</v>
      </c>
      <c r="G109" s="145">
        <v>15000</v>
      </c>
      <c r="H109" s="40"/>
    </row>
    <row r="110" spans="2:10" ht="15" x14ac:dyDescent="0.25">
      <c r="B110" s="168">
        <v>3013</v>
      </c>
      <c r="C110" s="74" t="s">
        <v>310</v>
      </c>
      <c r="D110" s="42">
        <f>50000+44000</f>
        <v>94000</v>
      </c>
      <c r="E110" s="42">
        <v>50000</v>
      </c>
      <c r="F110" s="42">
        <v>20000</v>
      </c>
      <c r="G110" s="165">
        <v>20000</v>
      </c>
      <c r="H110" s="40"/>
    </row>
    <row r="111" spans="2:10" ht="15" x14ac:dyDescent="0.25">
      <c r="B111" s="147">
        <v>2073</v>
      </c>
      <c r="C111" s="67" t="s">
        <v>253</v>
      </c>
      <c r="D111" s="20">
        <v>110000</v>
      </c>
      <c r="E111" s="20">
        <v>110000</v>
      </c>
      <c r="F111" s="20">
        <v>110000</v>
      </c>
      <c r="G111" s="148">
        <v>110000</v>
      </c>
    </row>
    <row r="112" spans="2:10" ht="15.75" thickBot="1" x14ac:dyDescent="0.3">
      <c r="B112" s="147">
        <v>2078</v>
      </c>
      <c r="C112" s="67" t="s">
        <v>255</v>
      </c>
      <c r="D112" s="41">
        <v>431000</v>
      </c>
      <c r="E112" s="41">
        <v>440000</v>
      </c>
      <c r="F112" s="41">
        <v>450000</v>
      </c>
      <c r="G112" s="145">
        <v>460000</v>
      </c>
    </row>
    <row r="113" spans="2:8" ht="13.5" thickBot="1" x14ac:dyDescent="0.25">
      <c r="B113" s="62"/>
      <c r="C113" s="151" t="s">
        <v>195</v>
      </c>
      <c r="D113" s="113">
        <f>SUM(D104:D112)</f>
        <v>1934000</v>
      </c>
      <c r="E113" s="114">
        <f>SUM(E104:E112)</f>
        <v>1866000</v>
      </c>
      <c r="F113" s="114">
        <f>SUM(F104:F112)</f>
        <v>1802000</v>
      </c>
      <c r="G113" s="116">
        <f>SUM(G104:G112)</f>
        <v>1794000</v>
      </c>
    </row>
    <row r="114" spans="2:8" ht="13.5" thickBot="1" x14ac:dyDescent="0.25">
      <c r="C114" s="69"/>
      <c r="D114" s="161"/>
      <c r="E114" s="161"/>
      <c r="F114" s="161"/>
      <c r="G114" s="161"/>
    </row>
    <row r="115" spans="2:8" ht="12.75" customHeight="1" x14ac:dyDescent="0.2">
      <c r="B115" s="261" t="s">
        <v>327</v>
      </c>
      <c r="C115" s="262"/>
      <c r="D115" s="262"/>
      <c r="E115" s="262"/>
      <c r="F115" s="262"/>
      <c r="G115" s="263"/>
    </row>
    <row r="116" spans="2:8" ht="15" x14ac:dyDescent="0.25">
      <c r="B116" s="147">
        <v>2031</v>
      </c>
      <c r="C116" s="66" t="s">
        <v>224</v>
      </c>
      <c r="D116" s="20">
        <f>1270000+35000</f>
        <v>1305000</v>
      </c>
      <c r="E116" s="20">
        <f>D116+10000</f>
        <v>1315000</v>
      </c>
      <c r="F116" s="20">
        <f>E116+10000</f>
        <v>1325000</v>
      </c>
      <c r="G116" s="148">
        <f>F116+10000</f>
        <v>1335000</v>
      </c>
    </row>
    <row r="117" spans="2:8" ht="15" x14ac:dyDescent="0.25">
      <c r="B117" s="147">
        <v>2018</v>
      </c>
      <c r="C117" s="66" t="s">
        <v>259</v>
      </c>
      <c r="D117" s="20">
        <f>700000+20000</f>
        <v>720000</v>
      </c>
      <c r="E117" s="20">
        <f>D117+30000</f>
        <v>750000</v>
      </c>
      <c r="F117" s="20">
        <f>E117+30000</f>
        <v>780000</v>
      </c>
      <c r="G117" s="148">
        <f>F117+30000</f>
        <v>810000</v>
      </c>
    </row>
    <row r="118" spans="2:8" ht="15" x14ac:dyDescent="0.25">
      <c r="B118" s="147">
        <v>2019</v>
      </c>
      <c r="C118" s="66" t="s">
        <v>207</v>
      </c>
      <c r="D118" s="20">
        <f>3400000+200000-600000</f>
        <v>3000000</v>
      </c>
      <c r="E118" s="20">
        <f>D118+100000</f>
        <v>3100000</v>
      </c>
      <c r="F118" s="20">
        <f>E118+100000</f>
        <v>3200000</v>
      </c>
      <c r="G118" s="148">
        <f>F118+100000</f>
        <v>3300000</v>
      </c>
    </row>
    <row r="119" spans="2:8" ht="15" x14ac:dyDescent="0.25">
      <c r="B119" s="147">
        <v>2097</v>
      </c>
      <c r="C119" s="70" t="s">
        <v>311</v>
      </c>
      <c r="D119" s="20">
        <f>260000</f>
        <v>260000</v>
      </c>
      <c r="E119" s="20">
        <v>200000</v>
      </c>
      <c r="F119" s="20">
        <v>200000</v>
      </c>
      <c r="G119" s="148">
        <v>250000</v>
      </c>
    </row>
    <row r="120" spans="2:8" ht="15" x14ac:dyDescent="0.25">
      <c r="B120" s="147">
        <v>2033</v>
      </c>
      <c r="C120" s="66" t="s">
        <v>225</v>
      </c>
      <c r="D120" s="20">
        <f>1200000</f>
        <v>1200000</v>
      </c>
      <c r="E120" s="20">
        <f>D120+10000</f>
        <v>1210000</v>
      </c>
      <c r="F120" s="20">
        <f>E120+10000</f>
        <v>1220000</v>
      </c>
      <c r="G120" s="148">
        <f>F120+10000</f>
        <v>1230000</v>
      </c>
    </row>
    <row r="121" spans="2:8" ht="15" x14ac:dyDescent="0.25">
      <c r="B121" s="144">
        <v>3147</v>
      </c>
      <c r="C121" s="67" t="s">
        <v>343</v>
      </c>
      <c r="D121" s="41">
        <v>1000000</v>
      </c>
      <c r="E121" s="41">
        <v>1000000</v>
      </c>
      <c r="F121" s="41">
        <v>1000000</v>
      </c>
      <c r="G121" s="145">
        <v>1000000</v>
      </c>
    </row>
    <row r="122" spans="2:8" ht="15.75" thickBot="1" x14ac:dyDescent="0.3">
      <c r="B122" s="147">
        <v>2094</v>
      </c>
      <c r="C122" s="66" t="s">
        <v>227</v>
      </c>
      <c r="D122" s="41">
        <f>172000</f>
        <v>172000</v>
      </c>
      <c r="E122" s="41">
        <f>172000</f>
        <v>172000</v>
      </c>
      <c r="F122" s="41">
        <f>172000</f>
        <v>172000</v>
      </c>
      <c r="G122" s="145">
        <f>172000</f>
        <v>172000</v>
      </c>
    </row>
    <row r="123" spans="2:8" ht="13.5" thickBot="1" x14ac:dyDescent="0.25">
      <c r="B123" s="59"/>
      <c r="C123" s="69" t="s">
        <v>195</v>
      </c>
      <c r="D123" s="113">
        <f>SUM(D116:D122)</f>
        <v>7657000</v>
      </c>
      <c r="E123" s="123">
        <f>SUM(E116:E122)</f>
        <v>7747000</v>
      </c>
      <c r="F123" s="124">
        <f>SUM(F116:F122)</f>
        <v>7897000</v>
      </c>
      <c r="G123" s="118">
        <f>SUM(G116:G122)</f>
        <v>8097000</v>
      </c>
      <c r="H123" s="23"/>
    </row>
    <row r="124" spans="2:8" ht="15.75" thickBot="1" x14ac:dyDescent="0.3">
      <c r="B124" s="169"/>
      <c r="C124" s="26"/>
      <c r="D124" s="27"/>
      <c r="E124" s="27"/>
      <c r="F124" s="33"/>
      <c r="G124" s="170"/>
    </row>
    <row r="125" spans="2:8" ht="13.5" thickBot="1" x14ac:dyDescent="0.25">
      <c r="B125" s="59"/>
      <c r="D125" s="23"/>
      <c r="E125" s="23"/>
      <c r="F125" s="171"/>
      <c r="G125" s="172"/>
    </row>
    <row r="126" spans="2:8" ht="12.75" customHeight="1" x14ac:dyDescent="0.2">
      <c r="B126" s="264" t="s">
        <v>63</v>
      </c>
      <c r="C126" s="265"/>
      <c r="D126" s="265"/>
      <c r="E126" s="265"/>
      <c r="F126" s="265"/>
      <c r="G126" s="266"/>
    </row>
    <row r="127" spans="2:8" ht="15" x14ac:dyDescent="0.25">
      <c r="B127" s="144">
        <v>2095</v>
      </c>
      <c r="C127" s="67" t="s">
        <v>262</v>
      </c>
      <c r="D127" s="20">
        <v>400000</v>
      </c>
      <c r="E127" s="20">
        <v>420000</v>
      </c>
      <c r="F127" s="20">
        <v>460000</v>
      </c>
      <c r="G127" s="148">
        <v>500000</v>
      </c>
    </row>
    <row r="128" spans="2:8" ht="15" x14ac:dyDescent="0.25">
      <c r="B128" s="144">
        <v>7</v>
      </c>
      <c r="C128" s="67" t="s">
        <v>263</v>
      </c>
      <c r="D128" s="20">
        <v>8500000</v>
      </c>
      <c r="E128" s="20">
        <v>9000000</v>
      </c>
      <c r="F128" s="20">
        <v>9500000</v>
      </c>
      <c r="G128" s="148">
        <v>10000000</v>
      </c>
    </row>
    <row r="129" spans="2:10" ht="15" x14ac:dyDescent="0.25">
      <c r="B129" s="144">
        <v>8</v>
      </c>
      <c r="C129" s="67" t="s">
        <v>264</v>
      </c>
      <c r="D129" s="20">
        <v>1500000</v>
      </c>
      <c r="E129" s="20">
        <v>1980000</v>
      </c>
      <c r="F129" s="20">
        <f>2300000</f>
        <v>2300000</v>
      </c>
      <c r="G129" s="148">
        <v>2350000</v>
      </c>
    </row>
    <row r="130" spans="2:10" ht="15" x14ac:dyDescent="0.25">
      <c r="B130" s="144">
        <v>9999</v>
      </c>
      <c r="C130" s="67" t="s">
        <v>265</v>
      </c>
      <c r="D130" s="20">
        <f>D132-D127-D128-D129</f>
        <v>20000000</v>
      </c>
      <c r="E130" s="20">
        <f>E132-E127-E128-E129</f>
        <v>19200000</v>
      </c>
      <c r="F130" s="20">
        <f>F132-F127-F128-F129</f>
        <v>20440000</v>
      </c>
      <c r="G130" s="148">
        <f>G132-G127-G128-G129</f>
        <v>19650000</v>
      </c>
    </row>
    <row r="131" spans="2:10" ht="15.75" thickBot="1" x14ac:dyDescent="0.3">
      <c r="B131" s="59"/>
      <c r="C131" s="173"/>
      <c r="D131" s="41">
        <f>SUM(D130+D127)</f>
        <v>20400000</v>
      </c>
      <c r="E131" s="41">
        <f>SUM(E130+E127)</f>
        <v>19620000</v>
      </c>
      <c r="F131" s="41">
        <f>SUM(F130+F127)</f>
        <v>20900000</v>
      </c>
      <c r="G131" s="145">
        <f>SUM(G130+G127)</f>
        <v>20150000</v>
      </c>
    </row>
    <row r="132" spans="2:10" ht="15.75" thickBot="1" x14ac:dyDescent="0.3">
      <c r="B132" s="59"/>
      <c r="C132" s="24"/>
      <c r="D132" s="113">
        <v>30400000</v>
      </c>
      <c r="E132" s="114">
        <v>30600000</v>
      </c>
      <c r="F132" s="114">
        <v>32700000</v>
      </c>
      <c r="G132" s="116">
        <v>32500000</v>
      </c>
      <c r="H132" s="40"/>
    </row>
    <row r="133" spans="2:10" ht="15.75" thickBot="1" x14ac:dyDescent="0.3">
      <c r="B133" s="169"/>
      <c r="C133" s="26"/>
      <c r="D133" s="27"/>
      <c r="E133" s="27"/>
      <c r="F133" s="33"/>
      <c r="G133" s="170"/>
    </row>
    <row r="134" spans="2:10" ht="13.5" thickBot="1" x14ac:dyDescent="0.25">
      <c r="B134" s="59"/>
      <c r="G134" s="60"/>
    </row>
    <row r="135" spans="2:10" x14ac:dyDescent="0.2">
      <c r="B135" s="264" t="s">
        <v>328</v>
      </c>
      <c r="C135" s="265"/>
      <c r="D135" s="265"/>
      <c r="E135" s="265"/>
      <c r="F135" s="265"/>
      <c r="G135" s="266"/>
    </row>
    <row r="136" spans="2:10" ht="15" x14ac:dyDescent="0.25">
      <c r="B136" s="144">
        <v>2084</v>
      </c>
      <c r="C136" s="67" t="s">
        <v>266</v>
      </c>
      <c r="D136" s="20">
        <f>3900000+1000000</f>
        <v>4900000</v>
      </c>
      <c r="E136" s="20">
        <f>E140-E137-E138</f>
        <v>5530000</v>
      </c>
      <c r="F136" s="20">
        <f>F140-F137-F138</f>
        <v>5590000</v>
      </c>
      <c r="G136" s="148">
        <f>G140-G137-G138</f>
        <v>5790000</v>
      </c>
      <c r="H136" s="23"/>
      <c r="I136" s="23"/>
      <c r="J136" s="28"/>
    </row>
    <row r="137" spans="2:10" ht="15" x14ac:dyDescent="0.25">
      <c r="B137" s="144">
        <v>2085</v>
      </c>
      <c r="C137" s="67" t="s">
        <v>267</v>
      </c>
      <c r="D137" s="20">
        <v>8050000</v>
      </c>
      <c r="E137" s="20">
        <v>8060000</v>
      </c>
      <c r="F137" s="20">
        <v>8070000</v>
      </c>
      <c r="G137" s="148">
        <v>8080000</v>
      </c>
    </row>
    <row r="138" spans="2:10" ht="15.75" thickBot="1" x14ac:dyDescent="0.3">
      <c r="B138" s="144">
        <v>2087</v>
      </c>
      <c r="C138" s="70" t="s">
        <v>268</v>
      </c>
      <c r="D138" s="41">
        <f>250000+800000+200000</f>
        <v>1250000</v>
      </c>
      <c r="E138" s="41">
        <v>1010000</v>
      </c>
      <c r="F138" s="41">
        <v>1040000</v>
      </c>
      <c r="G138" s="145">
        <v>1130000</v>
      </c>
    </row>
    <row r="139" spans="2:10" ht="15.75" thickBot="1" x14ac:dyDescent="0.3">
      <c r="B139" s="62"/>
      <c r="C139" s="151" t="s">
        <v>195</v>
      </c>
      <c r="D139" s="125">
        <f>SUM(D136:D138)</f>
        <v>14200000</v>
      </c>
      <c r="E139" s="126">
        <f>SUM(E136:E138)</f>
        <v>14600000</v>
      </c>
      <c r="F139" s="126">
        <f>SUM(F136:F138)</f>
        <v>14700000</v>
      </c>
      <c r="G139" s="127">
        <f>SUM(G136:G138)</f>
        <v>15000000</v>
      </c>
      <c r="H139" s="39"/>
    </row>
    <row r="140" spans="2:10" ht="13.5" thickBot="1" x14ac:dyDescent="0.25">
      <c r="B140" s="76"/>
      <c r="C140" s="26"/>
      <c r="D140" s="128">
        <v>14200000</v>
      </c>
      <c r="E140" s="128">
        <v>14600000</v>
      </c>
      <c r="F140" s="128">
        <v>14700000</v>
      </c>
      <c r="G140" s="128">
        <v>15000000</v>
      </c>
      <c r="H140" s="23"/>
    </row>
    <row r="141" spans="2:10" ht="13.5" thickBot="1" x14ac:dyDescent="0.25">
      <c r="C141" s="25" t="s">
        <v>260</v>
      </c>
      <c r="D141" s="119">
        <f>D7+D14+D25+D32+D56+D66+D76+D84+D100+D113+D123+D132+D140</f>
        <v>179187500</v>
      </c>
      <c r="E141" s="129">
        <f>E7+E14+E25+E32+E56+E66+E76+E84+E100+E113+E123+E132+E140</f>
        <v>183062500</v>
      </c>
      <c r="F141" s="129">
        <f>F7+F14+F25+F32+F56+F66+F76+F84+F100+F113+F123+F132+F140</f>
        <v>191016500</v>
      </c>
      <c r="G141" s="130">
        <f>G7+G14+G25+G32+G56+G66+G76+G84+G100+G113+G123+G132+G140</f>
        <v>191666500</v>
      </c>
      <c r="I141" s="29"/>
    </row>
    <row r="142" spans="2:10" x14ac:dyDescent="0.2">
      <c r="B142" s="1">
        <v>9999</v>
      </c>
      <c r="C142" s="68" t="s">
        <v>261</v>
      </c>
      <c r="D142" s="81">
        <v>1000000</v>
      </c>
      <c r="E142" s="81">
        <v>1000000</v>
      </c>
      <c r="F142" s="81">
        <v>1000000</v>
      </c>
      <c r="G142" s="81">
        <v>1000000</v>
      </c>
      <c r="I142" s="29"/>
    </row>
    <row r="143" spans="2:10" x14ac:dyDescent="0.2">
      <c r="D143" s="77"/>
      <c r="E143" s="77"/>
      <c r="F143" s="77"/>
      <c r="G143" s="77"/>
      <c r="I143" s="29"/>
    </row>
    <row r="144" spans="2:10" ht="14.25" customHeight="1" x14ac:dyDescent="0.2">
      <c r="B144" s="77"/>
      <c r="C144" s="80"/>
      <c r="D144" s="48"/>
      <c r="E144" s="48"/>
      <c r="F144" s="48"/>
      <c r="G144" s="48"/>
    </row>
    <row r="145" spans="6:6" x14ac:dyDescent="0.2">
      <c r="F145" s="1"/>
    </row>
    <row r="146" spans="6:6" x14ac:dyDescent="0.2">
      <c r="F146" s="1"/>
    </row>
  </sheetData>
  <sheetProtection selectLockedCells="1" selectUnlockedCells="1"/>
  <mergeCells count="16">
    <mergeCell ref="B1:G1"/>
    <mergeCell ref="B2:G2"/>
    <mergeCell ref="C3:G3"/>
    <mergeCell ref="B5:G5"/>
    <mergeCell ref="B9:G9"/>
    <mergeCell ref="B16:G16"/>
    <mergeCell ref="B115:G115"/>
    <mergeCell ref="B126:G126"/>
    <mergeCell ref="B135:G135"/>
    <mergeCell ref="B27:G27"/>
    <mergeCell ref="B34:G34"/>
    <mergeCell ref="B58:G58"/>
    <mergeCell ref="B68:G68"/>
    <mergeCell ref="B78:G78"/>
    <mergeCell ref="B86:G86"/>
    <mergeCell ref="B103:G103"/>
  </mergeCells>
  <pageMargins left="0.25" right="0.25" top="0.75" bottom="0.75" header="0.51180555555555551" footer="0.51180555555555551"/>
  <pageSetup paperSize="9" scale="30" firstPageNumber="0" fitToHeight="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Anexo I - Programas</vt:lpstr>
      <vt:lpstr>Anexo II - Resumo dos Programas</vt:lpstr>
      <vt:lpstr>Anexo III - Progr-Ação-Fun-Subf</vt:lpstr>
      <vt:lpstr>Anexo IV -Projetos e Ativid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fazenda</dc:creator>
  <cp:lastModifiedBy>Câmara Ivoti</cp:lastModifiedBy>
  <cp:lastPrinted>2025-07-22T18:45:43Z</cp:lastPrinted>
  <dcterms:created xsi:type="dcterms:W3CDTF">2025-08-01T12:11:30Z</dcterms:created>
  <dcterms:modified xsi:type="dcterms:W3CDTF">2025-09-08T18:04:41Z</dcterms:modified>
</cp:coreProperties>
</file>