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330" tabRatio="602" firstSheet="2" activeTab="17"/>
  </bookViews>
  <sheets>
    <sheet name="Parâmetros" sheetId="1" r:id="rId1"/>
    <sheet name="Projeções" sheetId="2" r:id="rId2"/>
    <sheet name="RCL" sheetId="3" r:id="rId3"/>
    <sheet name="Pessoal" sheetId="4" r:id="rId4"/>
    <sheet name="Dívida" sheetId="5" r:id="rId5"/>
    <sheet name="RPrim-Nom" sheetId="6" r:id="rId6"/>
    <sheet name="Metas Cons" sheetId="7" r:id="rId7"/>
    <sheet name="MetasRPPS" sheetId="8" r:id="rId8"/>
    <sheet name=" Avaliação" sheetId="9" r:id="rId9"/>
    <sheet name="Comparação" sheetId="10" r:id="rId10"/>
    <sheet name=" Patrimônio" sheetId="11" r:id="rId11"/>
    <sheet name=" Alienação" sheetId="12" r:id="rId12"/>
    <sheet name="RPPS-Financeiro" sheetId="13" r:id="rId13"/>
    <sheet name="Renúncia" sheetId="14" r:id="rId14"/>
    <sheet name="DOCC" sheetId="15" r:id="rId15"/>
    <sheet name="Anexo II - Riscos Fiscais" sheetId="16" r:id="rId16"/>
    <sheet name="Anexo III - Metas e Priorid" sheetId="17" r:id="rId17"/>
    <sheet name="Anexo IV - Consdo Patrimônio" sheetId="18" r:id="rId18"/>
  </sheets>
  <externalReferences>
    <externalReference r:id="rId21"/>
    <externalReference r:id="rId22"/>
    <externalReference r:id="rId23"/>
  </externalReferences>
  <definedNames>
    <definedName name="_xlnm.Print_Area" localSheetId="0">'Parâmetros'!$A$7:$G$26</definedName>
    <definedName name="_xlnm.Print_Area" localSheetId="1">'Projeções'!$A$1:$AL$173</definedName>
    <definedName name="Z_16B3F100_CCE8_11D8_BD62_000C6E3CD3F1_.wvu.Cols" localSheetId="0" hidden="1">'Parâmetros'!$C:$C,'Parâmetros'!#REF!</definedName>
    <definedName name="Z_16B3F100_CCE8_11D8_BD62_000C6E3CD3F1_.wvu.Rows" localSheetId="4" hidden="1">'Dívida'!$23:$23,'Dívida'!#REF!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<sst xmlns="http://schemas.openxmlformats.org/spreadsheetml/2006/main" count="970" uniqueCount="706">
  <si>
    <t>CONTAS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</si>
  <si>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</si>
  <si>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</si>
  <si>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</si>
  <si>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</si>
  <si>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</si>
  <si>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</si>
  <si>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</si>
  <si>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</si>
  <si>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</si>
  <si>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</si>
  <si>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</si>
  <si>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</si>
  <si>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</si>
  <si>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</si>
  <si>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</si>
  <si>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</si>
  <si>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</si>
  <si>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</si>
  <si>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</si>
  <si>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</si>
  <si>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</si>
  <si>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</si>
  <si>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</si>
  <si>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</si>
  <si>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</si>
  <si>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</si>
  <si>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</si>
  <si>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</si>
  <si>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</si>
  <si>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</si>
  <si>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</si>
  <si>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</si>
  <si>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</si>
  <si>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</si>
  <si>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</si>
  <si>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</si>
  <si>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</si>
  <si>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>2.1 - Operações de Crédito</t>
  </si>
  <si>
    <t>Receita Total</t>
  </si>
  <si>
    <t>Despesa Total</t>
  </si>
  <si>
    <t>Reservas</t>
  </si>
  <si>
    <t>3.0.00.00.00.00.00</t>
  </si>
  <si>
    <t>3.1.00.00.00.00.00</t>
  </si>
  <si>
    <t>PESSOAL E ENCARGOS SOCIAIS</t>
  </si>
  <si>
    <t>3.2.00.00.00.00.00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</si>
  <si>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</si>
  <si>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</si>
  <si>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</si>
  <si>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</si>
  <si>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</si>
  <si>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</si>
  <si>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</si>
  <si>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</si>
  <si>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</si>
  <si>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</si>
  <si>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</si>
  <si>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</si>
  <si>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</si>
  <si>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</si>
  <si>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</si>
  <si>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</si>
  <si>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</si>
  <si>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</si>
  <si>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</si>
  <si>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</si>
  <si>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</si>
  <si>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</si>
  <si>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</si>
  <si>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</si>
  <si>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</si>
  <si>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</si>
  <si>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</si>
  <si>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</si>
  <si>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</si>
  <si>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</si>
  <si>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</si>
  <si>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</si>
  <si>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</si>
  <si>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</si>
  <si>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</si>
  <si>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</si>
  <si>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</si>
  <si>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</si>
  <si>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</si>
  <si>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</si>
  <si>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</si>
  <si>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</si>
  <si>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</si>
  <si>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</si>
  <si>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</si>
  <si>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</si>
  <si>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    Alienação de Bens Móveis</t>
  </si>
  <si>
    <t xml:space="preserve">        Alienação de Bens Imóveis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</si>
  <si>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</si>
  <si>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</si>
  <si>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</si>
  <si>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</si>
  <si>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</si>
  <si>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</si>
  <si>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</si>
  <si>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</si>
  <si>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</si>
  <si>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</si>
  <si>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</si>
  <si>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</si>
  <si>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</si>
  <si>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</si>
  <si>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</si>
  <si>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</si>
  <si>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</si>
  <si>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>DEMONSTRATIVO DE RISCOS FISCAIS E PROVIDÊNCIAS</t>
  </si>
  <si>
    <t>PROVIDÊNCIAS</t>
  </si>
  <si>
    <t>Descrição</t>
  </si>
  <si>
    <t>I-Metas Previstas em</t>
  </si>
  <si>
    <t>II-Metas Realizadas em</t>
  </si>
  <si>
    <t>Valor (c) = (b-a)</t>
  </si>
  <si>
    <t>Variação %</t>
  </si>
  <si>
    <t>Variação%</t>
  </si>
  <si>
    <t xml:space="preserve">  Receitas Primárias (I)</t>
  </si>
  <si>
    <t>Despesas Primárias (II)</t>
  </si>
  <si>
    <t>Receita Primárias (I)</t>
  </si>
  <si>
    <t>Despesa Primárias (II)</t>
  </si>
  <si>
    <t>DEMONSTRATIVO DE METAS FISCAIS ATUAIS COMPARADAS COM AS FIXADAS  NOS TRÊS EXERCÍCIOS ANTERIORES</t>
  </si>
  <si>
    <t>Receitas Primárias (I)</t>
  </si>
  <si>
    <t>Saldo</t>
  </si>
  <si>
    <t>Reestimativa</t>
  </si>
  <si>
    <t>REESTIMADO</t>
  </si>
  <si>
    <t>JUROS E ENCARGOS DA DÍVIDA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</si>
  <si>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</si>
  <si>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</si>
  <si>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</si>
  <si>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</si>
  <si>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</si>
  <si>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</si>
  <si>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</si>
  <si>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</si>
  <si>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</si>
  <si>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da Prefeitura Municipal</t>
  </si>
  <si>
    <t>Rendimento de Aplicações Financeira de Alienaç de Bens</t>
  </si>
  <si>
    <t xml:space="preserve">CRESCIMENTO DOS INVESTIMENTOS </t>
  </si>
  <si>
    <t>cando-se, sobre eles, as projeções de inflação para os referidos exercícios a saber:</t>
  </si>
  <si>
    <t>Exercício</t>
  </si>
  <si>
    <t>(-)  Transferências ao FUNDEB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</si>
  <si>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</si>
  <si>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</si>
  <si>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</si>
  <si>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</si>
  <si>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</si>
  <si>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 xml:space="preserve">Operações de Crédito / Pagamentos </t>
  </si>
  <si>
    <t>ANEXO DE  METAS FISCAIS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</si>
  <si>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</si>
  <si>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</si>
  <si>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</si>
  <si>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</si>
  <si>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</si>
  <si>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</si>
  <si>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</si>
  <si>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</si>
  <si>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ANEXO DE RISCOS FISCAIS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</si>
  <si>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</si>
  <si>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</si>
  <si>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</si>
  <si>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</si>
  <si>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</si>
  <si>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</si>
  <si>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</si>
  <si>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</si>
  <si>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</si>
  <si>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</si>
  <si>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</si>
  <si>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</si>
  <si>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</si>
  <si>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RESULTADO PREVIDENCIÁRIO (VII) = (III – VI)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</si>
  <si>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</si>
  <si>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</si>
  <si>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</si>
  <si>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</si>
  <si>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</si>
  <si>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</si>
  <si>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</si>
  <si>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</si>
  <si>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</si>
  <si>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 III -  METAS E PRIORIDADES</t>
  </si>
  <si>
    <t>TIPO (*)</t>
  </si>
  <si>
    <t>Ação</t>
  </si>
  <si>
    <t>Produto</t>
  </si>
  <si>
    <t xml:space="preserve">(*)  Tipo:  P – Projeto       A - Atividade </t>
  </si>
  <si>
    <t xml:space="preserve">OE – Operação Especial      NO – Não-orçamentária            </t>
  </si>
  <si>
    <t xml:space="preserve">Pessoal  do  R P P S </t>
  </si>
  <si>
    <t xml:space="preserve">Juros e encargos da Dívida RPPS </t>
  </si>
  <si>
    <t xml:space="preserve">Invetimentos  RPPS </t>
  </si>
  <si>
    <t>Receitas Primárias Advindas de PPP (IV)</t>
  </si>
  <si>
    <t>Despesas Primárias Geradas por PPP (V)</t>
  </si>
  <si>
    <t>Impacto do Saldo das PPP (VI) = (IV) - (V)</t>
  </si>
  <si>
    <t>Fonte: Sistema &lt;Nome&gt;, Unidade Responsável &lt;Nome&gt;, Data da emissão &lt;dd/mmm/aaaa&gt; e hora de emissão &lt;hhh e mmm&gt;</t>
  </si>
  <si>
    <t>Taxa de Juros Selic (Média do Ano)</t>
  </si>
  <si>
    <t>ARRECADADA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</si>
  <si>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</si>
  <si>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</si>
  <si>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</si>
  <si>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</si>
  <si>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</si>
  <si>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</si>
  <si>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</si>
  <si>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</si>
  <si>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</si>
  <si>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</si>
  <si>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</si>
  <si>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</si>
  <si>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</si>
  <si>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</si>
  <si>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</si>
  <si>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</si>
  <si>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</si>
  <si>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</si>
  <si>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</si>
  <si>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</si>
  <si>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</si>
  <si>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</si>
  <si>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</si>
  <si>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</si>
  <si>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</si>
  <si>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</si>
  <si>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</si>
  <si>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Exploração do Patrimônio Imobiliário do Estado</t>
  </si>
  <si>
    <t>1.3.2.0.00.0.0.00.00.00</t>
  </si>
  <si>
    <t>Valores Mobiliários</t>
  </si>
  <si>
    <t>1.3.2.1.00.1.1.01.00.00</t>
  </si>
  <si>
    <t>Remuneração de Depósitos de Recursos Vinculados - Principal</t>
  </si>
  <si>
    <t>1.3.2.1.00.1.1.02.00.00</t>
  </si>
  <si>
    <t>Remuneração de Depósitos de Recursos Não Vinculados - Principal</t>
  </si>
  <si>
    <t>1.3.2.1.00.4.0.00.00.00</t>
  </si>
  <si>
    <t>Remuneração dos Recursos do Regime Próprio de Previdência Social - RPPS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</si>
  <si>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</si>
  <si>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</si>
  <si>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</si>
  <si>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</si>
  <si>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</si>
  <si>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</si>
  <si>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</si>
  <si>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</si>
  <si>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</si>
  <si>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</si>
  <si>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</si>
  <si>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</si>
  <si>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</si>
  <si>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</si>
  <si>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</si>
  <si>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</si>
  <si>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</si>
  <si>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</si>
  <si>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</si>
  <si>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</si>
  <si>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</si>
  <si>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</si>
  <si>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</si>
  <si>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</si>
  <si>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</si>
  <si>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</si>
  <si>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</si>
  <si>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1.7.1.8.03.0.0.00.00.00</t>
  </si>
  <si>
    <t>Transferência de Recursos do Sistema Único de Saúde – SUS – Repasses Fundo a Fundo</t>
  </si>
  <si>
    <t>1.7.1.8.04.0.0.00.00.00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</si>
  <si>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</si>
  <si>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</si>
  <si>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</si>
  <si>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</si>
  <si>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</si>
  <si>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</si>
  <si>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Transferências de Convênios da União e de Suas Entidades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</si>
  <si>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</si>
  <si>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</si>
  <si>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</si>
  <si>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</si>
  <si>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</si>
  <si>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</si>
  <si>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</si>
  <si>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</si>
  <si>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</si>
  <si>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</si>
  <si>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</si>
  <si>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</si>
  <si>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</si>
  <si>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</si>
  <si>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</si>
  <si>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</si>
  <si>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1.7.2.8.03.0.0.00.00.00</t>
  </si>
  <si>
    <t>Transferência de Recursos do Estado para Programas de Saúde – Repasse Fundo a Fundo</t>
  </si>
  <si>
    <t>1.7.2.8.10.0.0.00.00.00</t>
  </si>
  <si>
    <t>Transferência de Convênios dos Estados e do Distrito Federal e de Suas Entidades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</si>
  <si>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</si>
  <si>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</si>
  <si>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</si>
  <si>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</si>
  <si>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</si>
  <si>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</si>
  <si>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</si>
  <si>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</si>
  <si>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</si>
  <si>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</si>
  <si>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</si>
  <si>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</si>
  <si>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</si>
  <si>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</si>
  <si>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</si>
  <si>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</si>
  <si>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</si>
  <si>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</si>
  <si>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</si>
  <si>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</si>
  <si>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</si>
  <si>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</si>
  <si>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</si>
  <si>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</si>
  <si>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</si>
  <si>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</si>
  <si>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</si>
  <si>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</si>
  <si>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</si>
  <si>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</si>
  <si>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</si>
  <si>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</si>
  <si>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</si>
  <si>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</si>
  <si>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</si>
  <si>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</si>
  <si>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</si>
  <si>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</si>
  <si>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</si>
  <si>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2.4.1.0.00.0.0.00.00.00</t>
  </si>
  <si>
    <t>2.4.2.0.00.0.0.00.00.00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</si>
  <si>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</si>
  <si>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</si>
  <si>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</si>
  <si>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</si>
  <si>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</si>
  <si>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</si>
  <si>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</si>
  <si>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</si>
  <si>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Outras Receitas Diretamente Arrecadadas pelo RPPS - Principal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</si>
  <si>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</si>
  <si>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</si>
  <si>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</si>
  <si>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</si>
  <si>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</si>
  <si>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</si>
  <si>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</si>
  <si>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</si>
  <si>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</si>
  <si>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</si>
  <si>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</si>
  <si>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Pessoal  - Executivo / Indiretes</t>
  </si>
  <si>
    <t>Pessoal  - Legislativo</t>
  </si>
  <si>
    <t>Juros e Encargos da Dívida - Executiv / Indiretas</t>
  </si>
  <si>
    <t>Juros e Encargos da Dívida - Legislativo</t>
  </si>
  <si>
    <t>Outras Despesas Correntes - Executivo</t>
  </si>
  <si>
    <t>Outras Despesas Correntes - Legislativo</t>
  </si>
  <si>
    <t>Outras Despesas Correntes  RPPS</t>
  </si>
  <si>
    <t>Investimentos - Executvi / Indiretas</t>
  </si>
  <si>
    <t>Investimentos - Legislativo</t>
  </si>
  <si>
    <t xml:space="preserve">4.5.90.99.00.00.00 </t>
  </si>
  <si>
    <t>Outras Inversões Financeiras - Executvi / Indiretas</t>
  </si>
  <si>
    <t>Outras Inversões Financeiras - Legislativo</t>
  </si>
  <si>
    <t>Amortização da Dívida  - Executivo / Indiretas</t>
  </si>
  <si>
    <t>Amortização da Dívida  - Legislativo</t>
  </si>
  <si>
    <t>Amortização da Dívida  - RPPS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</si>
  <si>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</si>
  <si>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</si>
  <si>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</si>
  <si>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</si>
  <si>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>Contribuição para o Regime Próprio de Previdência Social - RPPS (dos servidores)</t>
  </si>
  <si>
    <t>Valor Corrente (a)</t>
  </si>
  <si>
    <t>% RCL</t>
  </si>
  <si>
    <t>(a /RCL)</t>
  </si>
  <si>
    <t>II - DEDUÇÕES</t>
  </si>
  <si>
    <t xml:space="preserve">    I R R F s/Rendimentos do Trabalho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</si>
  <si>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</si>
  <si>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</si>
  <si>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</si>
  <si>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</si>
  <si>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Estimativas para a Receita Corrente Líquida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</si>
  <si>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</si>
  <si>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</si>
  <si>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</si>
  <si>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</si>
  <si>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</si>
  <si>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</si>
  <si>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</si>
  <si>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</si>
  <si>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</si>
  <si>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Rendimentos de Aplicações de Rec.Previdenciários</t>
  </si>
  <si>
    <t>(B /RCL)</t>
  </si>
  <si>
    <t>(b /RCL)</t>
  </si>
  <si>
    <t>Inflação para 2020:</t>
  </si>
  <si>
    <t>AMF - Demonstrativo 6 (LRF, art. 4º, § 2º, inciso IV, alínea "a")</t>
  </si>
  <si>
    <t>RECEITAS E DESPESAS PREVIDENCIÁRIOS DO REGIME PRÓPRIO DE PREVIDÊNCIA DOS SERVIDORES</t>
  </si>
  <si>
    <t>PLANO PREVIDENCIÁRIO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</si>
  <si>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</si>
  <si>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</si>
  <si>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</si>
  <si>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</si>
  <si>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</si>
  <si>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</si>
  <si>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</si>
  <si>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</si>
  <si>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Em Regime de Parcelamento de Débitos</t>
  </si>
  <si>
    <t>Receitas Imobiliárias</t>
  </si>
  <si>
    <t>Receitas de Valores Mobiliários</t>
  </si>
  <si>
    <t>Outras Receitas Patrimoniais</t>
  </si>
  <si>
    <t>Receita de Aporte Periódico de Valores Predefinidos</t>
  </si>
  <si>
    <t>Compensação Previdenciária do RGPS para o RPPS</t>
  </si>
  <si>
    <t>RECEITAS DE CAPITAL (II)</t>
  </si>
  <si>
    <t>Alienação de Bens, Direitos e Ativos</t>
  </si>
  <si>
    <t>TOTAL DAS RECEITAS PREVIDENCIÁRIAS RPPS - (III) = (I + II)</t>
  </si>
  <si>
    <t>DESPESAS PREVIDENCIÁRIAS - RPPS</t>
  </si>
  <si>
    <t>ADMINISTRAÇÃO (IV)</t>
  </si>
  <si>
    <t>Despesas Correntes</t>
  </si>
  <si>
    <t>Despesas de Capital</t>
  </si>
  <si>
    <t>PREVIDÊNCIA (V)</t>
  </si>
  <si>
    <t>Benefícios - Civil</t>
  </si>
  <si>
    <t>Aposentadorias</t>
  </si>
  <si>
    <t>Pensões</t>
  </si>
  <si>
    <t>Outros Benefícios Previdenciários</t>
  </si>
  <si>
    <t>Benefícios - Militar</t>
  </si>
  <si>
    <t>Reformas</t>
  </si>
  <si>
    <t>Outras Despesas Previdenciárias</t>
  </si>
  <si>
    <t>Compensação Previdenciária do RPPS para o RGPS</t>
  </si>
  <si>
    <t>Demais Despesas Previdenciárias</t>
  </si>
  <si>
    <t>TOTAL DAS DESPESAS PREVIDENCIÁRIAS RPPS (VI) = (IV + V)</t>
  </si>
  <si>
    <t>RECURSOS RPPS ARRECADADOS EM EXERCÍCIOS ANTERIORES</t>
  </si>
  <si>
    <t>VALOR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</si>
  <si>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</si>
  <si>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</si>
  <si>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</si>
  <si>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</si>
  <si>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</si>
  <si>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</si>
  <si>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</si>
  <si>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 Bens e Direitos</t>
  </si>
  <si>
    <t>PROJEÇÃO ATUARIAL DO REGIME PRÓPRIO DE PREVIDÊNCIA DOS SERVIDORES</t>
  </si>
  <si>
    <r>
      <t xml:space="preserve">Receitas
Previdenciárias </t>
    </r>
    <r>
      <rPr>
        <b/>
        <sz val="8"/>
        <rFont val="Arial"/>
        <family val="2"/>
      </rPr>
      <t>(a)</t>
    </r>
  </si>
  <si>
    <r>
      <t xml:space="preserve">Despesas
Previdenciárias
</t>
    </r>
    <r>
      <rPr>
        <b/>
        <sz val="8"/>
        <rFont val="Arial"/>
        <family val="2"/>
      </rPr>
      <t>(b)</t>
    </r>
  </si>
  <si>
    <r>
      <t xml:space="preserve">Resultado
Previdenciário
</t>
    </r>
    <r>
      <rPr>
        <b/>
        <sz val="8"/>
        <rFont val="Arial"/>
        <family val="2"/>
      </rPr>
      <t>(c) = (a-b)</t>
    </r>
  </si>
  <si>
    <r>
      <t xml:space="preserve">Saldo Financeiro 
do Exercício
</t>
    </r>
    <r>
      <rPr>
        <b/>
        <sz val="8"/>
        <rFont val="Arial"/>
        <family val="2"/>
      </rPr>
      <t>(d) = (d Exercício Anterior) + (c)</t>
    </r>
  </si>
  <si>
    <t>AVALIAÇÃO DA SITUAÇÃO FINANCEIRA E ATUARIAL DO RPPS</t>
  </si>
  <si>
    <t>Estimativa de Limites de Gastos com Pessoal do Poder Executivo e Legislativo para o período de 2018 a 2021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</si>
  <si>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</si>
  <si>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</si>
  <si>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</si>
  <si>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</si>
  <si>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</si>
  <si>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</si>
  <si>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</si>
  <si>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</si>
  <si>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2.2 Encargos - Exceto RPPS</t>
  </si>
  <si>
    <t>2.3 Amortizações - Exceto RPPS</t>
  </si>
  <si>
    <t>Memória de Cálculo das Estimativas das Receitas</t>
  </si>
  <si>
    <t>ANEXO DE METAS FISCAIS</t>
  </si>
  <si>
    <t>METAS ANUAIS - RPPS</t>
  </si>
  <si>
    <t xml:space="preserve">AVALIAÇÃO DO CUMPRIMENTO DAS METAS FISCAIS   DO EXERCÍCIO ANTERIOR                            </t>
  </si>
  <si>
    <t>EVOLUÇÃO DO PATRIMÔNIO LÍQUIDO</t>
  </si>
  <si>
    <t>ORIGEM E APLICAÇÃO DOS RECURSOS OBTIDOS COM A ALIENAÇÃO DE ATIVOS</t>
  </si>
  <si>
    <t>ESTIMATIVA E COMPENSAÇÃO DA RENÚNCIA DE RECEITA</t>
  </si>
  <si>
    <t xml:space="preserve">MARGEM DE EXPANSÃO DAS DESPESAS OBRIGATÓRIAS DE CARÁTER CONTINUADO  </t>
  </si>
  <si>
    <t>AMF - Demonstrativo 8 (LRF, art. 4°, § 2°, inciso V)</t>
  </si>
  <si>
    <t>AMF - Demonstrativo 7 (LRF, art. 4°, § 2°, inciso V)</t>
  </si>
  <si>
    <t>AMF - Demonstrativo 5 (LRF, art.4º, §2º, inciso III)</t>
  </si>
  <si>
    <t>AMF - Demonstrativo 4 (LRF, art.4º, §2º, inciso III)</t>
  </si>
  <si>
    <t>AMF – Demonstrativo 3 (LRF, art.4º, §2º, inciso II)</t>
  </si>
  <si>
    <r>
      <t>ARF (LRF, art 4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, § 3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)</t>
    </r>
  </si>
  <si>
    <t>AMF - Demonstrativo 2 (LRF, art. 4º, §2º, inciso I)</t>
  </si>
  <si>
    <t>AMF - Demonstrativo 1 (LRF, art. 4º, § 1º)</t>
  </si>
  <si>
    <t xml:space="preserve">Valor Constante </t>
  </si>
  <si>
    <t>Valor Corrente (b)</t>
  </si>
  <si>
    <t>Valor Constante</t>
  </si>
  <si>
    <t>Valor Corrente (c)</t>
  </si>
  <si>
    <t>LEI DE DIRETRIZES ORÇAMENTÁRIAS  PARA 2019</t>
  </si>
  <si>
    <t>Indicador</t>
  </si>
  <si>
    <t>PAGA</t>
  </si>
  <si>
    <t>PAGA(Estim)</t>
  </si>
  <si>
    <t>Memória de Cálculo das Estimativas de Pagamento das Despesas - Inclusive Restos a Pagar</t>
  </si>
  <si>
    <t>TOTAL DAS RECEITAS ARRECADADAS</t>
  </si>
  <si>
    <t>LEI DE DIRETRIZES ORÇAMENTÁRIAS PARA 2019</t>
  </si>
  <si>
    <t>TABELA 02 - Demonstrativo da  Memória de Cálculo do Resultado Primário e Nominal  -  ACIMA DA LINHA</t>
  </si>
  <si>
    <t>RECEITAS PRIMÁRIAS</t>
  </si>
  <si>
    <t>Arrecadação</t>
  </si>
  <si>
    <t>Projeção</t>
  </si>
  <si>
    <t>(-)  Aplicações Financeiras em Geral</t>
  </si>
  <si>
    <t>(-) Aplicações Financeiras do RPPS</t>
  </si>
  <si>
    <t>(-) Outras Receitas Financeiras</t>
  </si>
  <si>
    <t>(-)  Operações de Crédito</t>
  </si>
  <si>
    <t>(-) Amortização de Empréstimos</t>
  </si>
  <si>
    <t>(-) Alienação de Investimentos Temporários e Permanentes</t>
  </si>
  <si>
    <t>(-) Outras Receitas de Capital -  Não Primárias</t>
  </si>
  <si>
    <t>1.6.0.0.00.0.0.00.00</t>
  </si>
  <si>
    <t>Demais Serviços</t>
  </si>
  <si>
    <t>1.6.4.0.01.1.0.00.00 + 1.6.4.0.03.1.0.00.00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</si>
  <si>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</si>
  <si>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</si>
  <si>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</si>
  <si>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</si>
  <si>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</si>
  <si>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</si>
  <si>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</si>
  <si>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</si>
  <si>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</si>
  <si>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</si>
  <si>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>Taxa de Câmbio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</si>
  <si>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</si>
  <si>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</si>
  <si>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</si>
  <si>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</si>
  <si>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t>DESPESAS PRIMÁRIAS</t>
  </si>
  <si>
    <t>(-)  Juros e Encargos da Dívida</t>
  </si>
  <si>
    <t>(-)  Concessão e Empréstimos e Financiamentos</t>
  </si>
  <si>
    <t>(-) Aquisição de Títulos de Crédito</t>
  </si>
  <si>
    <t>(-) Amortização da Dívida</t>
  </si>
  <si>
    <t>(=) Receitas Primárias Correntes  (I)</t>
  </si>
  <si>
    <t>(=) Receitas Primárias de Capital (II)</t>
  </si>
  <si>
    <t>RECEITAS PRIMÁRIAS TOTAIS (III = I + II)</t>
  </si>
  <si>
    <t>(=) Despesas Primárias Correntes (IV)</t>
  </si>
  <si>
    <t>(=) Despesas Primárias de Capital (V)</t>
  </si>
  <si>
    <t>DESPESAS PRIMÁRIAS TOTAIS (VI = IV + V)</t>
  </si>
  <si>
    <t>Pagamento</t>
  </si>
  <si>
    <t>Pagto Estimado</t>
  </si>
  <si>
    <t>RESULTADO PRIMÁRIO   -  ACIMA DA LINHA (VII = III - VI)</t>
  </si>
  <si>
    <t>JUROS E ENCARGOS ATIVOS (Variações Patrimoniais Aumentativas)</t>
  </si>
  <si>
    <t>4.4.1.1.1.00.00 - Juros e Encargos de Empréstimos Internos Concedidos – Consolidação</t>
  </si>
  <si>
    <t>4.4.1.1.3.00.00 - Juros e Encargos de Empréstimos Internos Concedidos - Inter Ofss – União</t>
  </si>
  <si>
    <t>4.4.1.1.4.00.00 - Juros e Encargos de Empréstimos Internos Concedidos - Inter Ofss -Estado</t>
  </si>
  <si>
    <t>4.4.1.1.5.00.00 - Juros e Encargos de Empréstimos Internos Concedidos - Inter Ofss – Município</t>
  </si>
  <si>
    <t>4.4.1.2.1.00.00 - Juros e Encargos de Empréstimos Externos Concedidos – Consolidação</t>
  </si>
  <si>
    <t>4.4.1.3.1.00.00 - Juros e Encargos de Financiamentos Internos Concedidos – Consolidação</t>
  </si>
  <si>
    <t>4.4.1.3.3.00.00 - Juros e Encargos de Financiamentos Internos Concedidos - Inter Ofss – União</t>
  </si>
  <si>
    <t>4.4.1.3.4.00.00 - Juros e Encargos de Financiamentos Internos Concedidos - Inter Ofss – Estado</t>
  </si>
  <si>
    <t>4.4.1.3.5.00.00 - Juros e Encargos de Financiamentos Internos Concedidos - Inter Ofss – Município</t>
  </si>
  <si>
    <t>4.4.1.4.1.00.00 - Juros e Encargos de Financiamentos Externos Concedidos – Consolidação</t>
  </si>
  <si>
    <t>4.4.2.1.1.00.00 - Juros e Encargos de Mora Sobre Empréstimos e Financiamentos Internos Concedidos – Consolidação</t>
  </si>
  <si>
    <t>4.4.2.1.3.00.00 - Juros e Encargos de Mora Sobre Empréstimos e Financiamentos Internos Concedidos - Inter Ofss – União</t>
  </si>
  <si>
    <t>4.4.2.1.4.00.00 - Juros e Encargos de Mora Sobre Empréstimos e Financiamentos Internos Concedidos - Inter Ofss - Estado</t>
  </si>
  <si>
    <t>4.4.2.1.5.00.00 - Juros e Encargos ee Mora Sobre Empréstimos e Financiamentos Internos Concedidos - Inter Ofss - Município</t>
  </si>
  <si>
    <t>4.4.2.2.1.00.00 - Juros e Encargos de Mora Sobre Empréstimos e Financiamentos Externos Concedidos - Consolidação</t>
  </si>
  <si>
    <t>4.4.5.1.1.00.00 - Remuneração de Depósitos Bancários - Consolidação</t>
  </si>
  <si>
    <t>4.4.5.2.1.00.00 - Remuneração de Aplicações Financeiras - Consolidação</t>
  </si>
  <si>
    <t>SOMA  DOS JUROS E ENCARGOS ATIVOS  (VIII)</t>
  </si>
  <si>
    <t>JUROS E ENCARGOS PASSIVOS (Variações Patrimoniais Diminutivas)</t>
  </si>
  <si>
    <t>SOMA  DOS JUROS E ENCARGOS PASSIVOS (IX)</t>
  </si>
  <si>
    <t>3.4.1.1.1.00.00 - Juros e Encargos da Dívida Contratual Interna - Consolidação</t>
  </si>
  <si>
    <t>3.4.1.1.3.00.00 - Juros e Encargos da Dívida Contratual Interna - Inter Ofss - União</t>
  </si>
  <si>
    <t>3.4.1.1.4.00.00 - Juros e Encargos da Dívida Contratual Interna - Inter Ofss - Estado</t>
  </si>
  <si>
    <t>3.4.1.1.5.00.00 - Juros e Encargos da Dívida Contratual Interna - Inter Ofss - Município</t>
  </si>
  <si>
    <t>3.4.1.2.1.00.00 - Juros e Encargos da Dívida Contratual Externa - Consolidação</t>
  </si>
  <si>
    <t>3.4.1.3.1.00.00 - Juros e Encargos da Dívida Mobiliaria - Consolidação</t>
  </si>
  <si>
    <t>3.4.1.4.1.00.00 - Juros e Encargos de Empréstimos por Antecipação de Receita Orçamentária – Consolidação</t>
  </si>
  <si>
    <t>3.4.1.8.1.00.00 - Outros Juros e Encargos de Empréstimos e Financiamentos Internos – Consolidação</t>
  </si>
  <si>
    <t>3.4.1.8.3.00.00 - Outros Juros e Encargos de Empréstimos e Financiamentos Internos - Inter Ofss – União</t>
  </si>
  <si>
    <t>3.4.1.8.4.00.00 - Outros Juros e Encargos de Empréstimos e Financiamentos Internos - Inter Ofss – Estado</t>
  </si>
  <si>
    <t>3.4.1.8.5.00.00 - Outros Juros e Encargos de Empréstimos e Financiamentos Internos - Inter Ofss - Município</t>
  </si>
  <si>
    <t>3.4.1.9.1.00.00 - Outros Juros e Encargos de Empréstimos e Financiamentos Externos - Consolidação</t>
  </si>
  <si>
    <t>3.4.2.1.1.00.00 - Juros e Encargos de Mora de Empréstimos e Financiamentos Internos Obtidos - Consolidação</t>
  </si>
  <si>
    <t>3.4.2.1.3.00.00 - Juros e Encargos de Mora de Empréstimos e Financiamentos Internos Obtidos - Inter Ofss - União</t>
  </si>
  <si>
    <t>3.4.2.1.4.00.00 - Juros e Encargos de Mora de Empréstimos e Financiamentos Internos Obtidos - Inter Ofss - Estado</t>
  </si>
  <si>
    <t>3.4.2.1.5.00.00 -  Juros e Encargos de Mora de Empréstimos e Financiamentos Internos Obtidos - Inter Ofss - Município</t>
  </si>
  <si>
    <t>3.4.2.2.1.00.00 - Juros e Encargos de Mora de Empréstimos e Financiamentos Externos Obtidos - Consolidação</t>
  </si>
  <si>
    <t>RESULTADO NOMINAL  -  ACIMA DA LINHA (X = VII + VIII - IX))</t>
  </si>
  <si>
    <t xml:space="preserve">TABELA 03 - Demonstrativo da Evolução da Dívida Consolidada Líquida </t>
  </si>
  <si>
    <t>Apuração Conforme a Instrução Normativa nº 12/2017, do TCE/RS</t>
  </si>
  <si>
    <t>Lei de Diretrizes Orçamentárias para o Exercício de 2019</t>
  </si>
  <si>
    <t>EXERCÍCIO DE 2019</t>
  </si>
  <si>
    <t>2017 (a)</t>
  </si>
  <si>
    <t>2017 (b)</t>
  </si>
  <si>
    <t xml:space="preserve"> EXERCÍCIO DE 2019</t>
  </si>
  <si>
    <t xml:space="preserve">EXERCÍCIO DE 2019 </t>
  </si>
  <si>
    <t>Valor Previsto 2019</t>
  </si>
  <si>
    <t>LEI DE DIRETRIZES ORÇAMENTÁRIAS – 2019</t>
  </si>
  <si>
    <t>Lucros ou Prejuízos Acumulados</t>
  </si>
  <si>
    <t>RECEITAS DE CAPITAL - Alienaçã de Ativos (I)</t>
  </si>
  <si>
    <t>SALDOS DE EXERCÍCIOS ANTERIORES A 2015</t>
  </si>
  <si>
    <t>APLICAÇÃO DOS RECURSOS DA ALIENAÇÃO DE ATIVOS (II)</t>
  </si>
  <si>
    <t>Valor (III)</t>
  </si>
  <si>
    <t>Obs:  1 -   Os valores da renúncia para 2019 foram previstos de acordo com informações do setor tributário</t>
  </si>
  <si>
    <t>Inflação para 2021:</t>
  </si>
  <si>
    <t xml:space="preserve">    Dívida Mobiliária</t>
  </si>
  <si>
    <t xml:space="preserve">    Dívida Contratual (inclusive parcelamentos)</t>
  </si>
  <si>
    <t xml:space="preserve">    Precatórios posteriores a 05-05-2000</t>
  </si>
  <si>
    <t xml:space="preserve"> DÍVIDA CONSOLIDADA (I)</t>
  </si>
  <si>
    <t>DISPONIBILIDADES DE CAIXA (II)</t>
  </si>
  <si>
    <t xml:space="preserve">   Disponibilidade da Caixa Bruta</t>
  </si>
  <si>
    <t xml:space="preserve">   (-) Restos a Pagar Processados</t>
  </si>
  <si>
    <t>DIVIDA CONSOLIDADA LÍQUIDA (III = I - II)</t>
  </si>
  <si>
    <t xml:space="preserve">   Demais Haveres Financeiros</t>
  </si>
  <si>
    <t>Previsão (Saldo Médio)</t>
  </si>
  <si>
    <t>Cronograma Anual de Operações de Crédito e  de Amortização e Serviço da Dívida</t>
  </si>
  <si>
    <t>Preenchimento Opcional Cfe. Item 02.01.02.01 da 8ª Edição do MDF</t>
  </si>
  <si>
    <t>Preenchimento opcional cfe. Item 02.01.02.01 da 8ª edição do MDF</t>
  </si>
  <si>
    <r>
      <t>( R ) Deduções da Receita</t>
    </r>
    <r>
      <rPr>
        <b/>
        <sz val="10"/>
        <color indexed="10"/>
        <rFont val="Arial"/>
        <family val="2"/>
      </rPr>
      <t xml:space="preserve"> </t>
    </r>
  </si>
  <si>
    <r>
      <t>Deduções da Receita de Impostos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</si>
  <si>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Corrente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</si>
  <si>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de Capital</t>
    </r>
    <r>
      <rPr>
        <sz val="10"/>
        <color indexed="10"/>
        <rFont val="Arial"/>
        <family val="2"/>
      </rPr>
      <t xml:space="preserve"> (digitar com sinal negativo)</t>
    </r>
  </si>
  <si>
    <t>Preenchimento Opcional Cfe 8ª Edição do MDF</t>
  </si>
  <si>
    <t>Receitas Correntes Intraorçamentárias</t>
  </si>
  <si>
    <t>Receitas Correntes - Exceto Intraorçamentárias</t>
  </si>
  <si>
    <t>Receitas de Capital - Exceto Intraorçamentárias</t>
  </si>
  <si>
    <t>Despesas Correntes - Exceto Intraorçamentárias</t>
  </si>
  <si>
    <t>Despesas de Capital - Exceto Intraorçamentárias</t>
  </si>
  <si>
    <t>3.1.91.00.00.00.00</t>
  </si>
  <si>
    <t>3.2.91.00.00.00.00</t>
  </si>
  <si>
    <t>3.3.91.00.00.00.00</t>
  </si>
  <si>
    <t>4.4.91.00.00.00.00</t>
  </si>
  <si>
    <t xml:space="preserve">4.5.91.00.00.00.00 </t>
  </si>
  <si>
    <t>4.6.91.00.00.00.00</t>
  </si>
  <si>
    <t/>
  </si>
  <si>
    <t>(-) Aquisiç. De Títulos de Capital Já Integralizado</t>
  </si>
  <si>
    <r>
      <t>Despesas Com Pessoal  -</t>
    </r>
    <r>
      <rPr>
        <b/>
        <sz val="12"/>
        <color indexed="10"/>
        <rFont val="Arial"/>
        <family val="2"/>
      </rPr>
      <t xml:space="preserve"> INTRAORÇAMENTÁRIAS</t>
    </r>
  </si>
  <si>
    <r>
      <t xml:space="preserve">Juros e encargos da Dívida - </t>
    </r>
    <r>
      <rPr>
        <b/>
        <sz val="12"/>
        <color indexed="10"/>
        <rFont val="Arial"/>
        <family val="2"/>
      </rPr>
      <t>INTRAORÇAMENTÁRIAS</t>
    </r>
  </si>
  <si>
    <r>
      <t xml:space="preserve">Outras Despesas Correntes - </t>
    </r>
    <r>
      <rPr>
        <b/>
        <sz val="12"/>
        <color indexed="10"/>
        <rFont val="Arial"/>
        <family val="2"/>
      </rPr>
      <t>INTRAORÇAMENTÁRIAS</t>
    </r>
  </si>
  <si>
    <r>
      <t xml:space="preserve">Invetimentos  - </t>
    </r>
    <r>
      <rPr>
        <b/>
        <sz val="12"/>
        <color indexed="10"/>
        <rFont val="Arial"/>
        <family val="2"/>
      </rPr>
      <t>INTRAORÇAMENTÁRIAS</t>
    </r>
  </si>
  <si>
    <r>
      <t xml:space="preserve">Inversões Financeiras - </t>
    </r>
    <r>
      <rPr>
        <b/>
        <sz val="12"/>
        <color indexed="10"/>
        <rFont val="Arial"/>
        <family val="2"/>
      </rPr>
      <t>INTRAORÇAMENTÁRIAS</t>
    </r>
  </si>
  <si>
    <r>
      <t xml:space="preserve">Amortização da Dívida  - </t>
    </r>
    <r>
      <rPr>
        <b/>
        <sz val="12"/>
        <color indexed="10"/>
        <rFont val="Arial"/>
        <family val="2"/>
      </rPr>
      <t>INTRAORÇAMENTÁRIAS</t>
    </r>
  </si>
  <si>
    <t xml:space="preserve">TOTAL DAS DESPESAS </t>
  </si>
  <si>
    <t>RESSULTADO ORÇAMENTÁRIO / RESERVA</t>
  </si>
  <si>
    <t>Município de :Ivoti</t>
  </si>
  <si>
    <t>2 - Os valores da renúncia projetados para 2020 e 2021, foram claculados a partir dos valores de 2019, apli</t>
  </si>
  <si>
    <t>IPTU</t>
  </si>
  <si>
    <t>Isenção</t>
  </si>
  <si>
    <t>** Prédio Histórico(Lei Municipal 1410)</t>
  </si>
  <si>
    <t>** Idoso com renda baixa(Lei Municipal 2915)</t>
  </si>
  <si>
    <t>Não incidência</t>
  </si>
  <si>
    <t>** Área urbana com produção agrícola</t>
  </si>
  <si>
    <t>Fonte:  Sistema SAM, Unidade Responsável : Setor Arrecadação, Data da emissão: 20/08/2018</t>
  </si>
  <si>
    <t>Fonte: Sistema de Contabilidade Balanço Patrimonial, Unidade Responsável: Setor de Contabilidade</t>
  </si>
  <si>
    <t>Data da emissão :14/09/2018</t>
  </si>
  <si>
    <t xml:space="preserve"> METAS ANUAIS - CONSOLIDADO</t>
  </si>
  <si>
    <t>A</t>
  </si>
  <si>
    <t xml:space="preserve">MANUTENÇÃO DAS ATIVIDADES LEGISLATIVAS </t>
  </si>
  <si>
    <t>MANUTENÇÃO DAS ATIVIDADES DO GABINETE</t>
  </si>
  <si>
    <t xml:space="preserve">CORPO DE BOMBEIROS E DEFESA CIVIL </t>
  </si>
  <si>
    <t>REPASSE A ENTIDADES - CONVÊNIO CONSEPRO E OUTRAS ENTIDADES</t>
  </si>
  <si>
    <t>P</t>
  </si>
  <si>
    <t xml:space="preserve">MANUTENÇÃO DAS ATIVIDADES DA SECRETARIA DA ADMINISTRAÇÃO </t>
  </si>
  <si>
    <t>IMPLANTAÇÃO DE PPCIs</t>
  </si>
  <si>
    <t>CONSTRUÇÃO E REFORMA DOS ESPAÇOS ADMINISTRATIVOS</t>
  </si>
  <si>
    <t>MANUTENÇÃO DAS ATIVIDADES DA SECRETARIA DE DESENVOLVIMENTO</t>
  </si>
  <si>
    <t xml:space="preserve"> APOIO AO DESENVOLVIMENTO RURAL </t>
  </si>
  <si>
    <t>INCENTIVO A INDÚSTRIA</t>
  </si>
  <si>
    <t xml:space="preserve">NÚCLEO DE CASAS ENXAIMEL - TURISMO </t>
  </si>
  <si>
    <t xml:space="preserve">CALENDÁRIO DE EVENTOS </t>
  </si>
  <si>
    <t xml:space="preserve">MANUTENÇÃO DAS ATIVIDADES DA SECRETARIA EDUCAÇÃO </t>
  </si>
  <si>
    <t>ATENDIMENTO ESPECIALIZADO NAI</t>
  </si>
  <si>
    <t xml:space="preserve">CONVÊNIO COM ENTIDADES DE ATENDIMENTOS ESPECIALIZADOS </t>
  </si>
  <si>
    <t>EDUCAÇÃO INFANTIL-MDE</t>
  </si>
  <si>
    <t>EDUCAÇÃO INFANTIL-FUNDEB</t>
  </si>
  <si>
    <t>EDUCAÇÃO INFANTIL-SALÁRIO EDUCAÇÃO</t>
  </si>
  <si>
    <t>ENSINO FUNDAMENTAL-MDE</t>
  </si>
  <si>
    <t>ENSINO FUNDAMENTAL-FUNDEB</t>
  </si>
  <si>
    <t>ENSINO FUNDAMENTAL-SALÁRIO EDUCAÇÃO</t>
  </si>
  <si>
    <t xml:space="preserve">SERVIÇOS DE TRANSPORTE ESCOLAR </t>
  </si>
  <si>
    <t>ALIMENTAÇÃO ESCOLAR ENSINO FUNDAMENTAL</t>
  </si>
  <si>
    <t>MANUTENÇÃO DO DEPARTAMENTO DE CULTURA</t>
  </si>
  <si>
    <t xml:space="preserve"> EVENTOS CULTURAIS</t>
  </si>
  <si>
    <t>MANUTENÇÃO DO DEPARTAMENTO DE DESPORTO</t>
  </si>
  <si>
    <t>ALIMENTAÇÃO ESCOLAR EDUCAÇÃO INFANTIL</t>
  </si>
  <si>
    <t>PROGRAMA LAZER UNINDO GERAÇÕES + PROJETOS ESPECIAIS</t>
  </si>
  <si>
    <t xml:space="preserve">MANUTENÇÃO DAS ATIVIDADES DA SECRETARIA DE OBRAS </t>
  </si>
  <si>
    <t>PAVIMENTAÇÃO DE RUAS</t>
  </si>
  <si>
    <t xml:space="preserve">MELHORIAS E MANUTENÇÃO DA ILUMINAÇÃO PÚBLICA </t>
  </si>
  <si>
    <t xml:space="preserve">CONSERVAÇÃO E ABERTURA DE VIAS URBANAS E RURAIS </t>
  </si>
  <si>
    <t xml:space="preserve">CONSTRUÇÃO E REVITALIZAÇÃO DE PRAÇAS E LOGRADOUROS PÚBLICOS </t>
  </si>
  <si>
    <t>MELHORIA NO SERVIÇO DE LIMPEZA PÚBLICA E COLETA DE LIXO</t>
  </si>
  <si>
    <t xml:space="preserve">DRENAGEM URBANA </t>
  </si>
  <si>
    <t xml:space="preserve">MANUTENÇÃO DAS ATIVIDADES DA SECRETARIA SANEAMENTO </t>
  </si>
  <si>
    <t xml:space="preserve">CIDADE SUSTENTÁVEL </t>
  </si>
  <si>
    <t xml:space="preserve">PROGRAMA CONSCIÊNCIA ECOLÓGICA </t>
  </si>
  <si>
    <t xml:space="preserve">GERENCIAMENTO DE RESÍDUOS </t>
  </si>
  <si>
    <t xml:space="preserve">MANUTENÇÃO DO CEAMI </t>
  </si>
  <si>
    <t>OBSERVANDO AS ÁGUAS DE IVOTI</t>
  </si>
  <si>
    <t>PLANOS E DIAGNÓSTICOS AMBIENTAIS</t>
  </si>
  <si>
    <t>PROTEÇÃO E SAÚDE ANIMAL</t>
  </si>
  <si>
    <t xml:space="preserve">MANUTENÇÃO DAS ATIVIDADES DA SECRETARIA DA FAZENDA </t>
  </si>
  <si>
    <t>OE</t>
  </si>
  <si>
    <t xml:space="preserve">AMORTIZAÇÃO DA DÍVIDA PÚBLICA </t>
  </si>
  <si>
    <t>PROGRAMA DE FISCALIZAÇÃO E AUMENTO DE ARRECADAÇÃO</t>
  </si>
  <si>
    <t>AMORTZAÇÃO DO PASSIVO ATUARIAL - RPPS</t>
  </si>
  <si>
    <t xml:space="preserve">MANUTENÇÃO DAS ATIVIDADES DA SECRETARIA DA SAÚDE </t>
  </si>
  <si>
    <t>VIGILÂNCIA EM SAÚDE (EPIDEMIOLOGICA E SANITÁRIA)</t>
  </si>
  <si>
    <t xml:space="preserve">CONTRATAÇÃO DE SERVIÇOS ESPECIALIZADOS EM SAÚDE </t>
  </si>
  <si>
    <t xml:space="preserve">CONSTRUÇÃO, AMPLIAÇÃO E/OU REFORMA DE UNIDADES DE SAÚDE </t>
  </si>
  <si>
    <t xml:space="preserve">CONVÊNIOS COM HOSPITAIS </t>
  </si>
  <si>
    <t>DISTRIBUIÇÃO GRATUITA MEDICAMENTOS E INSUMOS</t>
  </si>
  <si>
    <t>FUNDO DA CRIANÇA E DO ADOLESCENTE</t>
  </si>
  <si>
    <t>ATENÇÃO A FAMÍLIA</t>
  </si>
  <si>
    <t>REGULARIZAÇÃO FUNDIÁRIA</t>
  </si>
  <si>
    <t>CONSELHO TUTELAR</t>
  </si>
  <si>
    <t xml:space="preserve">ASSISTÊNCIA SOCIAL - CRAS - CAPS </t>
  </si>
  <si>
    <t xml:space="preserve">CONVÊNIO DE APOIO A PESSOA PORTADORA DE NECESSIDADES ESPECIAIS </t>
  </si>
  <si>
    <t>CENTRO DE REFERÊNCIA DA MULHER</t>
  </si>
  <si>
    <t>CONSTRUÇÃO, AMPLIAÇÃO E/OU REFORMA CRAS</t>
  </si>
  <si>
    <t>MANUTENÇÃO DAS ATIVIDADES DO RPPS</t>
  </si>
  <si>
    <t>MANUTENÇÃO DAS ATIVIDIDADES DA AUTARQUIA</t>
  </si>
  <si>
    <t>MANUTENÇÃO DAS REDES DE AGUA</t>
  </si>
  <si>
    <t>MANUTENÇÃO E OPERAÇÃO DO SISTEMA DE ESGOTO</t>
  </si>
  <si>
    <r>
      <t>TOTAL DOS PROGRAMAS   =======================================</t>
    </r>
    <r>
      <rPr>
        <b/>
        <sz val="9"/>
        <rFont val="Wingdings"/>
        <family val="0"/>
      </rPr>
      <t>è</t>
    </r>
  </si>
  <si>
    <t>CONSTRUÇÃO REDE FIBRA ÓPTICA</t>
  </si>
  <si>
    <t>REALIZAÇÃO DE CONCURSOS PÚBLICOS</t>
  </si>
  <si>
    <t xml:space="preserve">CONSTRUÇÃO DO CENTRO DE CULTURA DE IVOTI 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</si>
</sst>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[$-416]dddd\,\ d&quot; de &quot;mmmm&quot; de &quot;yyyy"/>
    <numFmt numFmtId="205" formatCode="00000"/>
    <numFmt numFmtId="206" formatCode="0&quot;.&quot;0&quot;.&quot;0&quot;.&quot;0&quot;.&quot;00&quot;.&quot;0&quot;.&quot;0"/>
    <numFmt numFmtId="207" formatCode="#,##0.00_ ;\-#,##0.00\ "/>
    <numFmt numFmtId="208" formatCode="_(* #,##0_);_(* \(#,##0\);_(* &quot;-&quot;??_);_(@_)"/>
    <numFmt numFmtId="209" formatCode="&quot;Sim&quot;;&quot;Sim&quot;;&quot;Não&quot;"/>
    <numFmt numFmtId="210" formatCode="&quot;Verdadeiro&quot;;&quot;Verdadeiro&quot;;&quot;Falso&quot;"/>
    <numFmt numFmtId="211" formatCode="&quot;Ativar&quot;;&quot;Ativar&quot;;&quot;Desativar&quot;"/>
    <numFmt numFmtId="212" formatCode="[$€-2]\ #,##0.00_);[Red]\([$€-2]\ #,##0.00\)"/>
    <numFmt numFmtId="213" formatCode="0&quot;.&quot;0&quot;.&quot;0&quot;.&quot;0&quot;.&quot;0&quot;.&quot;00&quot;.&quot;00"/>
    <numFmt numFmtId="214" formatCode="&quot;Ativado&quot;;&quot;Ativado&quot;;&quot;Desativado&quot;"/>
  </numFmts>
  <fonts count="8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Wingdings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0"/>
      <name val="Helv"/>
      <family val="0"/>
    </font>
    <font>
      <u val="single"/>
      <vertAlign val="superscript"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175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5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left"/>
      <protection locked="0"/>
    </xf>
    <xf numFmtId="38" fontId="19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 vertical="center"/>
      <protection locked="0"/>
    </xf>
    <xf numFmtId="38" fontId="19" fillId="0" borderId="0" xfId="0" applyNumberFormat="1" applyFont="1" applyAlignment="1" applyProtection="1">
      <alignment/>
      <protection locked="0"/>
    </xf>
    <xf numFmtId="190" fontId="10" fillId="34" borderId="10" xfId="0" applyNumberFormat="1" applyFont="1" applyFill="1" applyBorder="1" applyAlignment="1" applyProtection="1">
      <alignment horizontal="center"/>
      <protection locked="0"/>
    </xf>
    <xf numFmtId="190" fontId="10" fillId="34" borderId="11" xfId="0" applyNumberFormat="1" applyFont="1" applyFill="1" applyBorder="1" applyAlignment="1" applyProtection="1">
      <alignment horizontal="center"/>
      <protection locked="0"/>
    </xf>
    <xf numFmtId="38" fontId="10" fillId="0" borderId="10" xfId="0" applyNumberFormat="1" applyFont="1" applyBorder="1" applyAlignment="1" applyProtection="1">
      <alignment/>
      <protection locked="0"/>
    </xf>
    <xf numFmtId="38" fontId="10" fillId="0" borderId="11" xfId="0" applyNumberFormat="1" applyFont="1" applyBorder="1" applyAlignment="1" applyProtection="1">
      <alignment/>
      <protection locked="0"/>
    </xf>
    <xf numFmtId="38" fontId="10" fillId="33" borderId="11" xfId="0" applyNumberFormat="1" applyFont="1" applyFill="1" applyBorder="1" applyAlignment="1" applyProtection="1">
      <alignment/>
      <protection locked="0"/>
    </xf>
    <xf numFmtId="38" fontId="10" fillId="0" borderId="12" xfId="0" applyNumberFormat="1" applyFont="1" applyBorder="1" applyAlignment="1" applyProtection="1">
      <alignment/>
      <protection locked="0"/>
    </xf>
    <xf numFmtId="38" fontId="10" fillId="33" borderId="13" xfId="0" applyNumberFormat="1" applyFont="1" applyFill="1" applyBorder="1" applyAlignment="1" applyProtection="1">
      <alignment/>
      <protection locked="0"/>
    </xf>
    <xf numFmtId="38" fontId="10" fillId="0" borderId="14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" fontId="20" fillId="33" borderId="0" xfId="55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177" fontId="0" fillId="0" borderId="15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4" fontId="6" fillId="33" borderId="0" xfId="55" applyNumberFormat="1" applyFont="1" applyFill="1" applyBorder="1" applyAlignment="1">
      <alignment/>
    </xf>
    <xf numFmtId="4" fontId="17" fillId="33" borderId="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left"/>
    </xf>
    <xf numFmtId="173" fontId="0" fillId="0" borderId="18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177" fontId="17" fillId="0" borderId="15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Border="1" applyAlignment="1">
      <alignment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35" borderId="24" xfId="0" applyFont="1" applyFill="1" applyBorder="1" applyAlignment="1">
      <alignment horizontal="center" vertical="top" wrapText="1"/>
    </xf>
    <xf numFmtId="0" fontId="21" fillId="35" borderId="2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0" fillId="34" borderId="0" xfId="0" applyFont="1" applyFill="1" applyAlignment="1">
      <alignment/>
    </xf>
    <xf numFmtId="0" fontId="31" fillId="0" borderId="0" xfId="0" applyFont="1" applyAlignment="1" applyProtection="1">
      <alignment/>
      <protection locked="0"/>
    </xf>
    <xf numFmtId="0" fontId="29" fillId="0" borderId="0" xfId="0" applyFont="1" applyFill="1" applyAlignment="1">
      <alignment/>
    </xf>
    <xf numFmtId="177" fontId="2" fillId="0" borderId="15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4" fontId="10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0" fontId="1" fillId="34" borderId="10" xfId="0" applyNumberFormat="1" applyFont="1" applyFill="1" applyBorder="1" applyAlignment="1">
      <alignment horizontal="center" vertical="center"/>
    </xf>
    <xf numFmtId="190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9" fillId="36" borderId="25" xfId="0" applyFont="1" applyFill="1" applyBorder="1" applyAlignment="1">
      <alignment/>
    </xf>
    <xf numFmtId="177" fontId="9" fillId="36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3" fontId="0" fillId="0" borderId="17" xfId="0" applyNumberFormat="1" applyFont="1" applyFill="1" applyBorder="1" applyAlignment="1">
      <alignment horizontal="right" wrapText="1"/>
    </xf>
    <xf numFmtId="43" fontId="0" fillId="0" borderId="17" xfId="0" applyNumberFormat="1" applyFont="1" applyFill="1" applyBorder="1" applyAlignment="1" applyProtection="1">
      <alignment horizontal="right"/>
      <protection locked="0"/>
    </xf>
    <xf numFmtId="0" fontId="33" fillId="37" borderId="26" xfId="0" applyFont="1" applyFill="1" applyBorder="1" applyAlignment="1" applyProtection="1">
      <alignment horizontal="center" vertical="center"/>
      <protection/>
    </xf>
    <xf numFmtId="0" fontId="33" fillId="37" borderId="15" xfId="0" applyFont="1" applyFill="1" applyBorder="1" applyAlignment="1" applyProtection="1">
      <alignment horizontal="center" vertical="center"/>
      <protection/>
    </xf>
    <xf numFmtId="49" fontId="33" fillId="37" borderId="26" xfId="0" applyNumberFormat="1" applyFont="1" applyFill="1" applyBorder="1" applyAlignment="1" applyProtection="1">
      <alignment vertical="center"/>
      <protection/>
    </xf>
    <xf numFmtId="43" fontId="33" fillId="37" borderId="15" xfId="0" applyNumberFormat="1" applyFont="1" applyFill="1" applyBorder="1" applyAlignment="1" applyProtection="1">
      <alignment vertical="center"/>
      <protection/>
    </xf>
    <xf numFmtId="49" fontId="33" fillId="37" borderId="26" xfId="0" applyNumberFormat="1" applyFont="1" applyFill="1" applyBorder="1" applyAlignment="1" applyProtection="1">
      <alignment horizontal="left" vertical="center"/>
      <protection/>
    </xf>
    <xf numFmtId="43" fontId="33" fillId="37" borderId="15" xfId="0" applyNumberFormat="1" applyFont="1" applyFill="1" applyBorder="1" applyAlignment="1" applyProtection="1">
      <alignment horizontal="left" vertical="center"/>
      <protection/>
    </xf>
    <xf numFmtId="49" fontId="34" fillId="37" borderId="0" xfId="0" applyNumberFormat="1" applyFont="1" applyFill="1" applyBorder="1" applyAlignment="1" applyProtection="1">
      <alignment horizontal="left" vertical="center"/>
      <protection/>
    </xf>
    <xf numFmtId="43" fontId="34" fillId="37" borderId="15" xfId="0" applyNumberFormat="1" applyFont="1" applyFill="1" applyBorder="1" applyAlignment="1" applyProtection="1">
      <alignment horizontal="left" vertical="center"/>
      <protection/>
    </xf>
    <xf numFmtId="0" fontId="34" fillId="37" borderId="0" xfId="0" applyFont="1" applyFill="1" applyAlignment="1" applyProtection="1">
      <alignment horizontal="left" vertical="center" indent="1"/>
      <protection/>
    </xf>
    <xf numFmtId="43" fontId="34" fillId="37" borderId="15" xfId="0" applyNumberFormat="1" applyFont="1" applyFill="1" applyBorder="1" applyAlignment="1" applyProtection="1">
      <alignment horizontal="left" vertical="center" indent="1"/>
      <protection/>
    </xf>
    <xf numFmtId="49" fontId="34" fillId="37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3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inden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indent="2"/>
    </xf>
    <xf numFmtId="49" fontId="0" fillId="0" borderId="26" xfId="0" applyNumberFormat="1" applyFont="1" applyFill="1" applyBorder="1" applyAlignment="1">
      <alignment vertical="center"/>
    </xf>
    <xf numFmtId="37" fontId="5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justify" vertical="center"/>
    </xf>
    <xf numFmtId="3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37" fontId="0" fillId="0" borderId="0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wrapText="1"/>
    </xf>
    <xf numFmtId="0" fontId="36" fillId="38" borderId="0" xfId="0" applyFont="1" applyFill="1" applyBorder="1" applyAlignment="1">
      <alignment horizontal="center" wrapText="1"/>
    </xf>
    <xf numFmtId="1" fontId="33" fillId="36" borderId="25" xfId="66" applyNumberFormat="1" applyFont="1" applyFill="1" applyBorder="1" applyAlignment="1" applyProtection="1">
      <alignment horizontal="center" vertical="center" wrapText="1"/>
      <protection/>
    </xf>
    <xf numFmtId="0" fontId="34" fillId="36" borderId="0" xfId="66" applyNumberFormat="1" applyFont="1" applyFill="1" applyBorder="1" applyAlignment="1" applyProtection="1">
      <alignment horizontal="left" vertical="center"/>
      <protection/>
    </xf>
    <xf numFmtId="0" fontId="34" fillId="36" borderId="0" xfId="66" applyNumberFormat="1" applyFont="1" applyFill="1" applyAlignment="1" applyProtection="1">
      <alignment horizontal="left"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208" fontId="0" fillId="36" borderId="0" xfId="66" applyNumberFormat="1" applyFont="1" applyFill="1" applyAlignment="1" applyProtection="1">
      <alignment vertical="center"/>
      <protection/>
    </xf>
    <xf numFmtId="43" fontId="34" fillId="36" borderId="30" xfId="66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Alignment="1">
      <alignment horizontal="center"/>
    </xf>
    <xf numFmtId="43" fontId="34" fillId="36" borderId="31" xfId="66" applyNumberFormat="1" applyFont="1" applyFill="1" applyBorder="1" applyAlignment="1" applyProtection="1">
      <alignment horizontal="left" vertical="center" indent="2"/>
      <protection/>
    </xf>
    <xf numFmtId="43" fontId="34" fillId="36" borderId="32" xfId="66" applyNumberFormat="1" applyFont="1" applyFill="1" applyBorder="1" applyAlignment="1" applyProtection="1">
      <alignment horizontal="left" vertical="center" indent="2"/>
      <protection/>
    </xf>
    <xf numFmtId="0" fontId="34" fillId="36" borderId="33" xfId="66" applyNumberFormat="1" applyFont="1" applyFill="1" applyBorder="1" applyAlignment="1" applyProtection="1">
      <alignment horizontal="left" vertical="center"/>
      <protection/>
    </xf>
    <xf numFmtId="0" fontId="34" fillId="36" borderId="34" xfId="66" applyNumberFormat="1" applyFont="1" applyFill="1" applyBorder="1" applyAlignment="1" applyProtection="1">
      <alignment horizontal="left" vertical="center"/>
      <protection/>
    </xf>
    <xf numFmtId="0" fontId="34" fillId="36" borderId="35" xfId="6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justify" vertical="top" wrapText="1"/>
    </xf>
    <xf numFmtId="49" fontId="17" fillId="0" borderId="36" xfId="0" applyNumberFormat="1" applyFont="1" applyBorder="1" applyAlignment="1">
      <alignment horizontal="justify" wrapText="1"/>
    </xf>
    <xf numFmtId="0" fontId="17" fillId="0" borderId="37" xfId="0" applyFont="1" applyBorder="1" applyAlignment="1">
      <alignment horizontal="justify" wrapText="1"/>
    </xf>
    <xf numFmtId="0" fontId="17" fillId="0" borderId="38" xfId="0" applyFont="1" applyBorder="1" applyAlignment="1">
      <alignment horizontal="justify" wrapText="1"/>
    </xf>
    <xf numFmtId="0" fontId="17" fillId="0" borderId="0" xfId="0" applyFont="1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 wrapText="1"/>
    </xf>
    <xf numFmtId="0" fontId="0" fillId="0" borderId="39" xfId="0" applyNumberFormat="1" applyFont="1" applyFill="1" applyBorder="1" applyAlignment="1">
      <alignment wrapText="1"/>
    </xf>
    <xf numFmtId="37" fontId="5" fillId="0" borderId="39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39" xfId="0" applyNumberFormat="1" applyFont="1" applyFill="1" applyBorder="1" applyAlignment="1">
      <alignment horizontal="justify" vertical="center"/>
    </xf>
    <xf numFmtId="0" fontId="5" fillId="0" borderId="3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justify" vertical="top" wrapText="1"/>
    </xf>
    <xf numFmtId="0" fontId="0" fillId="0" borderId="27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36" borderId="16" xfId="0" applyNumberFormat="1" applyFont="1" applyFill="1" applyBorder="1" applyAlignment="1" applyProtection="1">
      <alignment horizontal="center" vertical="center"/>
      <protection locked="0"/>
    </xf>
    <xf numFmtId="190" fontId="5" fillId="36" borderId="40" xfId="0" applyNumberFormat="1" applyFont="1" applyFill="1" applyBorder="1" applyAlignment="1">
      <alignment horizontal="center" vertical="center"/>
    </xf>
    <xf numFmtId="190" fontId="38" fillId="36" borderId="41" xfId="0" applyNumberFormat="1" applyFont="1" applyFill="1" applyBorder="1" applyAlignment="1" applyProtection="1">
      <alignment horizontal="center"/>
      <protection locked="0"/>
    </xf>
    <xf numFmtId="190" fontId="38" fillId="36" borderId="42" xfId="0" applyNumberFormat="1" applyFont="1" applyFill="1" applyBorder="1" applyAlignment="1" applyProtection="1">
      <alignment horizontal="center"/>
      <protection locked="0"/>
    </xf>
    <xf numFmtId="190" fontId="38" fillId="36" borderId="43" xfId="0" applyNumberFormat="1" applyFont="1" applyFill="1" applyBorder="1" applyAlignment="1" applyProtection="1">
      <alignment horizontal="center"/>
      <protection locked="0"/>
    </xf>
    <xf numFmtId="190" fontId="38" fillId="36" borderId="44" xfId="0" applyNumberFormat="1" applyFont="1" applyFill="1" applyBorder="1" applyAlignment="1" applyProtection="1">
      <alignment horizontal="center"/>
      <protection locked="0"/>
    </xf>
    <xf numFmtId="0" fontId="5" fillId="36" borderId="0" xfId="0" applyNumberFormat="1" applyFont="1" applyFill="1" applyBorder="1" applyAlignment="1" applyProtection="1">
      <alignment horizontal="center" vertical="center"/>
      <protection locked="0"/>
    </xf>
    <xf numFmtId="189" fontId="5" fillId="36" borderId="45" xfId="47" applyFont="1" applyFill="1" applyBorder="1" applyAlignment="1">
      <alignment horizontal="center" vertical="center"/>
    </xf>
    <xf numFmtId="190" fontId="5" fillId="36" borderId="10" xfId="0" applyNumberFormat="1" applyFont="1" applyFill="1" applyBorder="1" applyAlignment="1">
      <alignment horizontal="center" vertical="center"/>
    </xf>
    <xf numFmtId="190" fontId="5" fillId="36" borderId="11" xfId="0" applyNumberFormat="1" applyFont="1" applyFill="1" applyBorder="1" applyAlignment="1">
      <alignment horizontal="center" vertical="center"/>
    </xf>
    <xf numFmtId="0" fontId="5" fillId="36" borderId="35" xfId="53" applyFont="1" applyFill="1" applyBorder="1" applyAlignment="1">
      <alignment vertical="center"/>
      <protection/>
    </xf>
    <xf numFmtId="0" fontId="5" fillId="36" borderId="35" xfId="53" applyNumberFormat="1" applyFont="1" applyFill="1" applyBorder="1" applyAlignment="1">
      <alignment vertical="center" wrapText="1"/>
      <protection/>
    </xf>
    <xf numFmtId="43" fontId="38" fillId="36" borderId="10" xfId="0" applyNumberFormat="1" applyFont="1" applyFill="1" applyBorder="1" applyAlignment="1" applyProtection="1">
      <alignment horizontal="right"/>
      <protection locked="0"/>
    </xf>
    <xf numFmtId="0" fontId="5" fillId="36" borderId="15" xfId="53" applyFont="1" applyFill="1" applyBorder="1" applyAlignment="1">
      <alignment vertical="center"/>
      <protection/>
    </xf>
    <xf numFmtId="0" fontId="5" fillId="36" borderId="15" xfId="53" applyNumberFormat="1" applyFont="1" applyFill="1" applyBorder="1" applyAlignment="1">
      <alignment vertical="center" wrapText="1"/>
      <protection/>
    </xf>
    <xf numFmtId="43" fontId="5" fillId="36" borderId="15" xfId="0" applyNumberFormat="1" applyFont="1" applyFill="1" applyBorder="1" applyAlignment="1">
      <alignment/>
    </xf>
    <xf numFmtId="0" fontId="0" fillId="36" borderId="15" xfId="53" applyFont="1" applyFill="1" applyBorder="1" applyAlignment="1">
      <alignment vertical="center"/>
      <protection/>
    </xf>
    <xf numFmtId="0" fontId="0" fillId="36" borderId="15" xfId="53" applyNumberFormat="1" applyFont="1" applyFill="1" applyBorder="1" applyAlignment="1">
      <alignment vertical="center" wrapText="1"/>
      <protection/>
    </xf>
    <xf numFmtId="43" fontId="0" fillId="36" borderId="15" xfId="0" applyNumberFormat="1" applyFont="1" applyFill="1" applyBorder="1" applyAlignment="1">
      <alignment/>
    </xf>
    <xf numFmtId="206" fontId="0" fillId="36" borderId="15" xfId="53" applyNumberFormat="1" applyFont="1" applyFill="1" applyBorder="1" applyAlignment="1">
      <alignment vertical="center" wrapText="1"/>
      <protection/>
    </xf>
    <xf numFmtId="0" fontId="0" fillId="36" borderId="39" xfId="53" applyFont="1" applyFill="1" applyBorder="1" applyAlignment="1">
      <alignment vertical="center"/>
      <protection/>
    </xf>
    <xf numFmtId="177" fontId="0" fillId="36" borderId="15" xfId="0" applyNumberFormat="1" applyFont="1" applyFill="1" applyBorder="1" applyAlignment="1">
      <alignment/>
    </xf>
    <xf numFmtId="177" fontId="5" fillId="36" borderId="15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177" fontId="1" fillId="36" borderId="15" xfId="0" applyNumberFormat="1" applyFont="1" applyFill="1" applyBorder="1" applyAlignment="1">
      <alignment/>
    </xf>
    <xf numFmtId="0" fontId="10" fillId="36" borderId="16" xfId="0" applyNumberFormat="1" applyFont="1" applyFill="1" applyBorder="1" applyAlignment="1" applyProtection="1">
      <alignment horizontal="center" vertical="center"/>
      <protection locked="0"/>
    </xf>
    <xf numFmtId="190" fontId="1" fillId="36" borderId="40" xfId="0" applyNumberFormat="1" applyFont="1" applyFill="1" applyBorder="1" applyAlignment="1">
      <alignment horizontal="center" vertical="center"/>
    </xf>
    <xf numFmtId="190" fontId="10" fillId="36" borderId="41" xfId="0" applyNumberFormat="1" applyFont="1" applyFill="1" applyBorder="1" applyAlignment="1" applyProtection="1">
      <alignment horizontal="center"/>
      <protection locked="0"/>
    </xf>
    <xf numFmtId="190" fontId="10" fillId="36" borderId="42" xfId="0" applyNumberFormat="1" applyFont="1" applyFill="1" applyBorder="1" applyAlignment="1" applyProtection="1">
      <alignment horizontal="center"/>
      <protection locked="0"/>
    </xf>
    <xf numFmtId="190" fontId="10" fillId="36" borderId="43" xfId="0" applyNumberFormat="1" applyFont="1" applyFill="1" applyBorder="1" applyAlignment="1" applyProtection="1">
      <alignment horizontal="center"/>
      <protection locked="0"/>
    </xf>
    <xf numFmtId="190" fontId="10" fillId="36" borderId="44" xfId="0" applyNumberFormat="1" applyFont="1" applyFill="1" applyBorder="1" applyAlignment="1" applyProtection="1">
      <alignment horizontal="center"/>
      <protection locked="0"/>
    </xf>
    <xf numFmtId="0" fontId="10" fillId="36" borderId="0" xfId="0" applyNumberFormat="1" applyFont="1" applyFill="1" applyBorder="1" applyAlignment="1" applyProtection="1">
      <alignment horizontal="center" vertical="center"/>
      <protection locked="0"/>
    </xf>
    <xf numFmtId="189" fontId="1" fillId="36" borderId="45" xfId="47" applyFont="1" applyFill="1" applyBorder="1" applyAlignment="1">
      <alignment horizontal="center" vertical="center"/>
    </xf>
    <xf numFmtId="190" fontId="1" fillId="36" borderId="10" xfId="0" applyNumberFormat="1" applyFont="1" applyFill="1" applyBorder="1" applyAlignment="1">
      <alignment horizontal="center" vertical="center"/>
    </xf>
    <xf numFmtId="190" fontId="1" fillId="36" borderId="11" xfId="0" applyNumberFormat="1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177" fontId="2" fillId="36" borderId="15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177" fontId="2" fillId="39" borderId="15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177" fontId="6" fillId="36" borderId="15" xfId="0" applyNumberFormat="1" applyFont="1" applyFill="1" applyBorder="1" applyAlignment="1">
      <alignment/>
    </xf>
    <xf numFmtId="177" fontId="17" fillId="36" borderId="15" xfId="0" applyNumberFormat="1" applyFont="1" applyFill="1" applyBorder="1" applyAlignment="1">
      <alignment/>
    </xf>
    <xf numFmtId="0" fontId="6" fillId="36" borderId="15" xfId="0" applyFont="1" applyFill="1" applyBorder="1" applyAlignment="1">
      <alignment horizontal="left" vertical="center" wrapText="1"/>
    </xf>
    <xf numFmtId="177" fontId="6" fillId="36" borderId="15" xfId="0" applyNumberFormat="1" applyFont="1" applyFill="1" applyBorder="1" applyAlignment="1">
      <alignment horizontal="right"/>
    </xf>
    <xf numFmtId="0" fontId="17" fillId="36" borderId="46" xfId="0" applyFont="1" applyFill="1" applyBorder="1" applyAlignment="1">
      <alignment horizontal="center" vertical="top" wrapText="1"/>
    </xf>
    <xf numFmtId="0" fontId="17" fillId="36" borderId="47" xfId="0" applyFont="1" applyFill="1" applyBorder="1" applyAlignment="1">
      <alignment horizontal="center" vertical="top" wrapText="1"/>
    </xf>
    <xf numFmtId="0" fontId="17" fillId="36" borderId="48" xfId="0" applyFont="1" applyFill="1" applyBorder="1" applyAlignment="1">
      <alignment horizontal="center" wrapText="1"/>
    </xf>
    <xf numFmtId="0" fontId="17" fillId="36" borderId="49" xfId="0" applyFont="1" applyFill="1" applyBorder="1" applyAlignment="1">
      <alignment horizontal="center" vertical="top" wrapText="1"/>
    </xf>
    <xf numFmtId="0" fontId="17" fillId="36" borderId="50" xfId="0" applyFont="1" applyFill="1" applyBorder="1" applyAlignment="1">
      <alignment horizontal="center" vertical="top" wrapText="1"/>
    </xf>
    <xf numFmtId="0" fontId="17" fillId="36" borderId="37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51" xfId="0" applyFont="1" applyFill="1" applyBorder="1" applyAlignment="1">
      <alignment horizontal="center" vertical="top" wrapText="1"/>
    </xf>
    <xf numFmtId="0" fontId="17" fillId="36" borderId="52" xfId="0" applyFont="1" applyFill="1" applyBorder="1" applyAlignment="1">
      <alignment vertical="top" wrapText="1"/>
    </xf>
    <xf numFmtId="0" fontId="17" fillId="36" borderId="52" xfId="0" applyFont="1" applyFill="1" applyBorder="1" applyAlignment="1">
      <alignment horizontal="center" vertical="top" wrapText="1"/>
    </xf>
    <xf numFmtId="0" fontId="17" fillId="36" borderId="53" xfId="0" applyFont="1" applyFill="1" applyBorder="1" applyAlignment="1">
      <alignment horizontal="center" wrapText="1"/>
    </xf>
    <xf numFmtId="0" fontId="17" fillId="36" borderId="17" xfId="0" applyFont="1" applyFill="1" applyBorder="1" applyAlignment="1">
      <alignment wrapText="1"/>
    </xf>
    <xf numFmtId="43" fontId="17" fillId="40" borderId="17" xfId="0" applyNumberFormat="1" applyFont="1" applyFill="1" applyBorder="1" applyAlignment="1">
      <alignment wrapText="1"/>
    </xf>
    <xf numFmtId="4" fontId="17" fillId="40" borderId="17" xfId="0" applyNumberFormat="1" applyFont="1" applyFill="1" applyBorder="1" applyAlignment="1">
      <alignment wrapText="1"/>
    </xf>
    <xf numFmtId="0" fontId="17" fillId="36" borderId="17" xfId="0" applyFont="1" applyFill="1" applyBorder="1" applyAlignment="1">
      <alignment vertical="top" wrapText="1"/>
    </xf>
    <xf numFmtId="0" fontId="17" fillId="36" borderId="25" xfId="0" applyFont="1" applyFill="1" applyBorder="1" applyAlignment="1">
      <alignment vertical="top" wrapText="1"/>
    </xf>
    <xf numFmtId="177" fontId="17" fillId="36" borderId="34" xfId="0" applyNumberFormat="1" applyFont="1" applyFill="1" applyBorder="1" applyAlignment="1">
      <alignment vertical="top" wrapText="1"/>
    </xf>
    <xf numFmtId="0" fontId="17" fillId="36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53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173" fontId="0" fillId="0" borderId="55" xfId="0" applyNumberFormat="1" applyFont="1" applyFill="1" applyBorder="1" applyAlignment="1">
      <alignment horizontal="right" wrapText="1"/>
    </xf>
    <xf numFmtId="0" fontId="0" fillId="36" borderId="39" xfId="0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horizontal="left"/>
    </xf>
    <xf numFmtId="0" fontId="6" fillId="0" borderId="18" xfId="0" applyFont="1" applyFill="1" applyBorder="1" applyAlignment="1">
      <alignment wrapText="1"/>
    </xf>
    <xf numFmtId="173" fontId="17" fillId="0" borderId="18" xfId="0" applyNumberFormat="1" applyFont="1" applyFill="1" applyBorder="1" applyAlignment="1">
      <alignment horizontal="right" wrapText="1"/>
    </xf>
    <xf numFmtId="0" fontId="6" fillId="36" borderId="17" xfId="0" applyFont="1" applyFill="1" applyBorder="1" applyAlignment="1">
      <alignment vertical="top" wrapText="1"/>
    </xf>
    <xf numFmtId="177" fontId="6" fillId="36" borderId="34" xfId="0" applyNumberFormat="1" applyFont="1" applyFill="1" applyBorder="1" applyAlignment="1">
      <alignment vertical="top" wrapText="1"/>
    </xf>
    <xf numFmtId="0" fontId="6" fillId="36" borderId="25" xfId="0" applyFont="1" applyFill="1" applyBorder="1" applyAlignment="1">
      <alignment vertical="top" wrapText="1"/>
    </xf>
    <xf numFmtId="177" fontId="6" fillId="36" borderId="35" xfId="0" applyNumberFormat="1" applyFont="1" applyFill="1" applyBorder="1" applyAlignment="1">
      <alignment vertical="top" wrapText="1"/>
    </xf>
    <xf numFmtId="177" fontId="17" fillId="0" borderId="35" xfId="0" applyNumberFormat="1" applyFont="1" applyFill="1" applyBorder="1" applyAlignment="1">
      <alignment vertical="top" wrapText="1"/>
    </xf>
    <xf numFmtId="177" fontId="17" fillId="0" borderId="34" xfId="0" applyNumberFormat="1" applyFont="1" applyFill="1" applyBorder="1" applyAlignment="1">
      <alignment vertical="top" wrapText="1"/>
    </xf>
    <xf numFmtId="177" fontId="6" fillId="36" borderId="35" xfId="0" applyNumberFormat="1" applyFont="1" applyFill="1" applyBorder="1" applyAlignment="1">
      <alignment horizontal="right" vertical="top" wrapText="1"/>
    </xf>
    <xf numFmtId="0" fontId="6" fillId="36" borderId="15" xfId="0" applyFont="1" applyFill="1" applyBorder="1" applyAlignment="1">
      <alignment horizontal="center" wrapText="1"/>
    </xf>
    <xf numFmtId="0" fontId="17" fillId="36" borderId="15" xfId="0" applyFont="1" applyFill="1" applyBorder="1" applyAlignment="1">
      <alignment horizontal="left" wrapText="1"/>
    </xf>
    <xf numFmtId="177" fontId="17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0" fontId="6" fillId="36" borderId="33" xfId="0" applyFont="1" applyFill="1" applyBorder="1" applyAlignment="1">
      <alignment horizontal="left" wrapText="1"/>
    </xf>
    <xf numFmtId="177" fontId="6" fillId="36" borderId="33" xfId="0" applyNumberFormat="1" applyFont="1" applyFill="1" applyBorder="1" applyAlignment="1">
      <alignment horizontal="justify" vertical="top" wrapText="1"/>
    </xf>
    <xf numFmtId="0" fontId="6" fillId="36" borderId="15" xfId="0" applyFont="1" applyFill="1" applyBorder="1" applyAlignment="1">
      <alignment horizontal="left" wrapText="1"/>
    </xf>
    <xf numFmtId="177" fontId="6" fillId="36" borderId="15" xfId="0" applyNumberFormat="1" applyFont="1" applyFill="1" applyBorder="1" applyAlignment="1">
      <alignment horizontal="justify" vertical="top" wrapText="1"/>
    </xf>
    <xf numFmtId="177" fontId="17" fillId="36" borderId="15" xfId="0" applyNumberFormat="1" applyFont="1" applyFill="1" applyBorder="1" applyAlignment="1">
      <alignment horizontal="justify" vertical="top" wrapText="1"/>
    </xf>
    <xf numFmtId="0" fontId="0" fillId="0" borderId="57" xfId="0" applyFont="1" applyFill="1" applyBorder="1" applyAlignment="1">
      <alignment wrapText="1"/>
    </xf>
    <xf numFmtId="43" fontId="0" fillId="0" borderId="15" xfId="0" applyNumberFormat="1" applyFont="1" applyFill="1" applyBorder="1" applyAlignment="1">
      <alignment wrapText="1"/>
    </xf>
    <xf numFmtId="43" fontId="0" fillId="0" borderId="15" xfId="0" applyNumberFormat="1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>
      <alignment wrapText="1"/>
    </xf>
    <xf numFmtId="0" fontId="5" fillId="41" borderId="15" xfId="53" applyFont="1" applyFill="1" applyBorder="1" applyAlignment="1">
      <alignment vertical="center"/>
      <protection/>
    </xf>
    <xf numFmtId="0" fontId="5" fillId="41" borderId="15" xfId="53" applyNumberFormat="1" applyFont="1" applyFill="1" applyBorder="1" applyAlignment="1">
      <alignment vertical="center" wrapText="1"/>
      <protection/>
    </xf>
    <xf numFmtId="43" fontId="5" fillId="41" borderId="15" xfId="0" applyNumberFormat="1" applyFont="1" applyFill="1" applyBorder="1" applyAlignment="1">
      <alignment/>
    </xf>
    <xf numFmtId="0" fontId="0" fillId="36" borderId="15" xfId="53" applyFont="1" applyFill="1" applyBorder="1" applyAlignment="1">
      <alignment vertical="center" wrapText="1"/>
      <protection/>
    </xf>
    <xf numFmtId="0" fontId="5" fillId="38" borderId="15" xfId="53" applyFont="1" applyFill="1" applyBorder="1" applyAlignment="1">
      <alignment vertical="center"/>
      <protection/>
    </xf>
    <xf numFmtId="0" fontId="5" fillId="38" borderId="15" xfId="53" applyNumberFormat="1" applyFont="1" applyFill="1" applyBorder="1" applyAlignment="1">
      <alignment vertical="center" wrapText="1"/>
      <protection/>
    </xf>
    <xf numFmtId="43" fontId="5" fillId="38" borderId="15" xfId="0" applyNumberFormat="1" applyFont="1" applyFill="1" applyBorder="1" applyAlignment="1">
      <alignment/>
    </xf>
    <xf numFmtId="43" fontId="0" fillId="33" borderId="15" xfId="0" applyNumberFormat="1" applyFont="1" applyFill="1" applyBorder="1" applyAlignment="1">
      <alignment/>
    </xf>
    <xf numFmtId="3" fontId="41" fillId="36" borderId="15" xfId="0" applyNumberFormat="1" applyFont="1" applyFill="1" applyBorder="1" applyAlignment="1">
      <alignment horizontal="center"/>
    </xf>
    <xf numFmtId="0" fontId="41" fillId="36" borderId="15" xfId="0" applyFont="1" applyFill="1" applyBorder="1" applyAlignment="1">
      <alignment horizontal="center"/>
    </xf>
    <xf numFmtId="0" fontId="41" fillId="33" borderId="15" xfId="0" applyNumberFormat="1" applyFont="1" applyFill="1" applyBorder="1" applyAlignment="1">
      <alignment/>
    </xf>
    <xf numFmtId="43" fontId="42" fillId="33" borderId="15" xfId="0" applyNumberFormat="1" applyFont="1" applyFill="1" applyBorder="1" applyAlignment="1" applyProtection="1">
      <alignment/>
      <protection locked="0"/>
    </xf>
    <xf numFmtId="0" fontId="42" fillId="33" borderId="15" xfId="0" applyNumberFormat="1" applyFont="1" applyFill="1" applyBorder="1" applyAlignment="1">
      <alignment/>
    </xf>
    <xf numFmtId="0" fontId="41" fillId="0" borderId="15" xfId="0" applyNumberFormat="1" applyFont="1" applyBorder="1" applyAlignment="1">
      <alignment/>
    </xf>
    <xf numFmtId="0" fontId="42" fillId="0" borderId="15" xfId="0" applyNumberFormat="1" applyFont="1" applyBorder="1" applyAlignment="1">
      <alignment/>
    </xf>
    <xf numFmtId="43" fontId="42" fillId="0" borderId="15" xfId="0" applyNumberFormat="1" applyFont="1" applyBorder="1" applyAlignment="1">
      <alignment/>
    </xf>
    <xf numFmtId="0" fontId="40" fillId="0" borderId="15" xfId="0" applyNumberFormat="1" applyFont="1" applyBorder="1" applyAlignment="1">
      <alignment/>
    </xf>
    <xf numFmtId="0" fontId="42" fillId="33" borderId="58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19" xfId="0" applyFont="1" applyFill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41" borderId="15" xfId="0" applyFont="1" applyFill="1" applyBorder="1" applyAlignment="1">
      <alignment/>
    </xf>
    <xf numFmtId="3" fontId="41" fillId="41" borderId="15" xfId="0" applyNumberFormat="1" applyFont="1" applyFill="1" applyBorder="1" applyAlignment="1">
      <alignment/>
    </xf>
    <xf numFmtId="0" fontId="42" fillId="33" borderId="59" xfId="0" applyFont="1" applyFill="1" applyBorder="1" applyAlignment="1">
      <alignment horizontal="justify" vertical="center" wrapText="1"/>
    </xf>
    <xf numFmtId="0" fontId="42" fillId="33" borderId="60" xfId="0" applyFont="1" applyFill="1" applyBorder="1" applyAlignment="1">
      <alignment horizontal="justify" vertical="center" wrapText="1"/>
    </xf>
    <xf numFmtId="0" fontId="41" fillId="34" borderId="15" xfId="0" applyFont="1" applyFill="1" applyBorder="1" applyAlignment="1">
      <alignment/>
    </xf>
    <xf numFmtId="43" fontId="41" fillId="34" borderId="15" xfId="0" applyNumberFormat="1" applyFont="1" applyFill="1" applyBorder="1" applyAlignment="1">
      <alignment/>
    </xf>
    <xf numFmtId="0" fontId="6" fillId="38" borderId="15" xfId="0" applyFont="1" applyFill="1" applyBorder="1" applyAlignment="1">
      <alignment/>
    </xf>
    <xf numFmtId="3" fontId="6" fillId="36" borderId="15" xfId="0" applyNumberFormat="1" applyFont="1" applyFill="1" applyBorder="1" applyAlignment="1">
      <alignment horizontal="center" wrapText="1"/>
    </xf>
    <xf numFmtId="177" fontId="6" fillId="38" borderId="15" xfId="0" applyNumberFormat="1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10" fontId="0" fillId="0" borderId="15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5" xfId="0" applyFont="1" applyFill="1" applyBorder="1" applyAlignment="1" quotePrefix="1">
      <alignment horizontal="center" wrapText="1"/>
    </xf>
    <xf numFmtId="0" fontId="0" fillId="0" borderId="25" xfId="0" applyFont="1" applyFill="1" applyBorder="1" applyAlignment="1">
      <alignment horizontal="center" wrapText="1"/>
    </xf>
    <xf numFmtId="43" fontId="0" fillId="0" borderId="15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5" fillId="0" borderId="18" xfId="0" applyFont="1" applyFill="1" applyBorder="1" applyAlignment="1">
      <alignment wrapText="1"/>
    </xf>
    <xf numFmtId="177" fontId="45" fillId="0" borderId="17" xfId="0" applyNumberFormat="1" applyFont="1" applyFill="1" applyBorder="1" applyAlignment="1" applyProtection="1">
      <alignment wrapText="1"/>
      <protection locked="0"/>
    </xf>
    <xf numFmtId="177" fontId="45" fillId="0" borderId="25" xfId="0" applyNumberFormat="1" applyFont="1" applyFill="1" applyBorder="1" applyAlignment="1" applyProtection="1">
      <alignment wrapText="1"/>
      <protection locked="0"/>
    </xf>
    <xf numFmtId="173" fontId="45" fillId="0" borderId="18" xfId="0" applyNumberFormat="1" applyFont="1" applyFill="1" applyBorder="1" applyAlignment="1">
      <alignment horizontal="right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wrapText="1"/>
    </xf>
    <xf numFmtId="0" fontId="45" fillId="0" borderId="25" xfId="0" applyFont="1" applyFill="1" applyBorder="1" applyAlignment="1">
      <alignment wrapText="1"/>
    </xf>
    <xf numFmtId="0" fontId="46" fillId="0" borderId="25" xfId="0" applyFont="1" applyFill="1" applyBorder="1" applyAlignment="1">
      <alignment wrapText="1"/>
    </xf>
    <xf numFmtId="0" fontId="46" fillId="0" borderId="18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vertical="top" wrapText="1"/>
    </xf>
    <xf numFmtId="173" fontId="45" fillId="0" borderId="18" xfId="0" applyNumberFormat="1" applyFont="1" applyFill="1" applyBorder="1" applyAlignment="1">
      <alignment horizontal="right" vertical="top" wrapText="1"/>
    </xf>
    <xf numFmtId="177" fontId="45" fillId="0" borderId="15" xfId="0" applyNumberFormat="1" applyFont="1" applyFill="1" applyBorder="1" applyAlignment="1">
      <alignment horizontal="right" vertical="center" wrapText="1"/>
    </xf>
    <xf numFmtId="177" fontId="45" fillId="0" borderId="15" xfId="0" applyNumberFormat="1" applyFont="1" applyFill="1" applyBorder="1" applyAlignment="1" applyProtection="1">
      <alignment vertical="top" wrapText="1"/>
      <protection locked="0"/>
    </xf>
    <xf numFmtId="177" fontId="45" fillId="0" borderId="17" xfId="0" applyNumberFormat="1" applyFont="1" applyFill="1" applyBorder="1" applyAlignment="1" applyProtection="1">
      <alignment vertical="top" wrapText="1"/>
      <protection locked="0"/>
    </xf>
    <xf numFmtId="177" fontId="45" fillId="0" borderId="34" xfId="0" applyNumberFormat="1" applyFont="1" applyFill="1" applyBorder="1" applyAlignment="1" applyProtection="1">
      <alignment vertical="top" wrapText="1"/>
      <protection locked="0"/>
    </xf>
    <xf numFmtId="177" fontId="45" fillId="0" borderId="25" xfId="0" applyNumberFormat="1" applyFont="1" applyFill="1" applyBorder="1" applyAlignment="1" applyProtection="1">
      <alignment vertical="top" wrapText="1"/>
      <protection locked="0"/>
    </xf>
    <xf numFmtId="177" fontId="45" fillId="0" borderId="35" xfId="0" applyNumberFormat="1" applyFont="1" applyFill="1" applyBorder="1" applyAlignment="1" applyProtection="1">
      <alignment vertical="top" wrapText="1"/>
      <protection locked="0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vertical="top" wrapText="1"/>
    </xf>
    <xf numFmtId="0" fontId="45" fillId="0" borderId="17" xfId="0" applyFont="1" applyFill="1" applyBorder="1" applyAlignment="1">
      <alignment vertical="top" wrapText="1"/>
    </xf>
    <xf numFmtId="0" fontId="45" fillId="0" borderId="25" xfId="0" applyFont="1" applyFill="1" applyBorder="1" applyAlignment="1">
      <alignment vertical="top" wrapText="1"/>
    </xf>
    <xf numFmtId="0" fontId="45" fillId="0" borderId="29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39" fontId="0" fillId="42" borderId="15" xfId="0" applyNumberFormat="1" applyFont="1" applyFill="1" applyBorder="1" applyAlignment="1" applyProtection="1">
      <alignment horizontal="center"/>
      <protection/>
    </xf>
    <xf numFmtId="0" fontId="5" fillId="43" borderId="15" xfId="0" applyFont="1" applyFill="1" applyBorder="1" applyAlignment="1">
      <alignment horizontal="center"/>
    </xf>
    <xf numFmtId="0" fontId="5" fillId="44" borderId="15" xfId="0" applyFont="1" applyFill="1" applyBorder="1" applyAlignment="1" applyProtection="1">
      <alignment/>
      <protection locked="0"/>
    </xf>
    <xf numFmtId="10" fontId="0" fillId="43" borderId="15" xfId="0" applyNumberFormat="1" applyFont="1" applyFill="1" applyBorder="1" applyAlignment="1" applyProtection="1">
      <alignment horizontal="right"/>
      <protection locked="0"/>
    </xf>
    <xf numFmtId="10" fontId="0" fillId="43" borderId="15" xfId="0" applyNumberFormat="1" applyFont="1" applyFill="1" applyBorder="1" applyAlignment="1" applyProtection="1">
      <alignment horizontal="center"/>
      <protection/>
    </xf>
    <xf numFmtId="0" fontId="5" fillId="44" borderId="15" xfId="0" applyFont="1" applyFill="1" applyBorder="1" applyAlignment="1">
      <alignment/>
    </xf>
    <xf numFmtId="10" fontId="0" fillId="43" borderId="15" xfId="0" applyNumberFormat="1" applyFont="1" applyFill="1" applyBorder="1" applyAlignment="1">
      <alignment/>
    </xf>
    <xf numFmtId="0" fontId="5" fillId="45" borderId="15" xfId="0" applyFont="1" applyFill="1" applyBorder="1" applyAlignment="1">
      <alignment/>
    </xf>
    <xf numFmtId="0" fontId="5" fillId="43" borderId="15" xfId="0" applyFont="1" applyFill="1" applyBorder="1" applyAlignment="1">
      <alignment/>
    </xf>
    <xf numFmtId="39" fontId="0" fillId="43" borderId="15" xfId="0" applyNumberFormat="1" applyFont="1" applyFill="1" applyBorder="1" applyAlignment="1">
      <alignment/>
    </xf>
    <xf numFmtId="39" fontId="0" fillId="43" borderId="15" xfId="0" applyNumberFormat="1" applyFont="1" applyFill="1" applyBorder="1" applyAlignment="1" applyProtection="1">
      <alignment horizontal="center"/>
      <protection/>
    </xf>
    <xf numFmtId="10" fontId="0" fillId="42" borderId="15" xfId="0" applyNumberFormat="1" applyFont="1" applyFill="1" applyBorder="1" applyAlignment="1" applyProtection="1">
      <alignment horizontal="center"/>
      <protection/>
    </xf>
    <xf numFmtId="10" fontId="0" fillId="42" borderId="15" xfId="0" applyNumberFormat="1" applyFont="1" applyFill="1" applyBorder="1" applyAlignment="1" applyProtection="1">
      <alignment horizontal="center"/>
      <protection locked="0"/>
    </xf>
    <xf numFmtId="43" fontId="42" fillId="2" borderId="15" xfId="0" applyNumberFormat="1" applyFont="1" applyFill="1" applyBorder="1" applyAlignment="1" applyProtection="1">
      <alignment/>
      <protection locked="0"/>
    </xf>
    <xf numFmtId="43" fontId="42" fillId="2" borderId="15" xfId="0" applyNumberFormat="1" applyFont="1" applyFill="1" applyBorder="1" applyAlignment="1">
      <alignment/>
    </xf>
    <xf numFmtId="43" fontId="41" fillId="2" borderId="15" xfId="0" applyNumberFormat="1" applyFont="1" applyFill="1" applyBorder="1" applyAlignment="1">
      <alignment/>
    </xf>
    <xf numFmtId="43" fontId="40" fillId="2" borderId="15" xfId="0" applyNumberFormat="1" applyFont="1" applyFill="1" applyBorder="1" applyAlignment="1">
      <alignment/>
    </xf>
    <xf numFmtId="43" fontId="41" fillId="2" borderId="15" xfId="0" applyNumberFormat="1" applyFont="1" applyFill="1" applyBorder="1" applyAlignment="1" applyProtection="1">
      <alignment/>
      <protection locked="0"/>
    </xf>
    <xf numFmtId="43" fontId="0" fillId="2" borderId="17" xfId="0" applyNumberFormat="1" applyFont="1" applyFill="1" applyBorder="1" applyAlignment="1">
      <alignment horizontal="right" wrapText="1"/>
    </xf>
    <xf numFmtId="43" fontId="0" fillId="2" borderId="17" xfId="0" applyNumberFormat="1" applyFont="1" applyFill="1" applyBorder="1" applyAlignment="1" applyProtection="1">
      <alignment horizontal="right"/>
      <protection locked="0"/>
    </xf>
    <xf numFmtId="43" fontId="0" fillId="2" borderId="25" xfId="0" applyNumberFormat="1" applyFont="1" applyFill="1" applyBorder="1" applyAlignment="1" applyProtection="1">
      <alignment horizontal="right"/>
      <protection locked="0"/>
    </xf>
    <xf numFmtId="43" fontId="0" fillId="2" borderId="15" xfId="0" applyNumberFormat="1" applyFont="1" applyFill="1" applyBorder="1" applyAlignment="1">
      <alignment horizontal="right" wrapText="1"/>
    </xf>
    <xf numFmtId="10" fontId="0" fillId="2" borderId="15" xfId="0" applyNumberFormat="1" applyFont="1" applyFill="1" applyBorder="1" applyAlignment="1">
      <alignment wrapText="1"/>
    </xf>
    <xf numFmtId="43" fontId="0" fillId="2" borderId="15" xfId="0" applyNumberFormat="1" applyFont="1" applyFill="1" applyBorder="1" applyAlignment="1">
      <alignment vertical="top" wrapText="1"/>
    </xf>
    <xf numFmtId="10" fontId="0" fillId="2" borderId="15" xfId="0" applyNumberFormat="1" applyFont="1" applyFill="1" applyBorder="1" applyAlignment="1">
      <alignment horizontal="right" vertical="top" wrapText="1"/>
    </xf>
    <xf numFmtId="10" fontId="0" fillId="2" borderId="17" xfId="0" applyNumberFormat="1" applyFont="1" applyFill="1" applyBorder="1" applyAlignment="1">
      <alignment horizontal="right" vertical="top"/>
    </xf>
    <xf numFmtId="43" fontId="0" fillId="2" borderId="17" xfId="0" applyNumberFormat="1" applyFont="1" applyFill="1" applyBorder="1" applyAlignment="1">
      <alignment horizontal="right" vertical="top"/>
    </xf>
    <xf numFmtId="10" fontId="0" fillId="2" borderId="17" xfId="0" applyNumberFormat="1" applyFont="1" applyFill="1" applyBorder="1" applyAlignment="1">
      <alignment horizontal="right" vertical="top" wrapText="1"/>
    </xf>
    <xf numFmtId="43" fontId="0" fillId="2" borderId="17" xfId="0" applyNumberFormat="1" applyFont="1" applyFill="1" applyBorder="1" applyAlignment="1">
      <alignment horizontal="right"/>
    </xf>
    <xf numFmtId="43" fontId="0" fillId="2" borderId="25" xfId="0" applyNumberFormat="1" applyFont="1" applyFill="1" applyBorder="1" applyAlignment="1">
      <alignment horizontal="right"/>
    </xf>
    <xf numFmtId="177" fontId="45" fillId="2" borderId="17" xfId="0" applyNumberFormat="1" applyFont="1" applyFill="1" applyBorder="1" applyAlignment="1">
      <alignment wrapText="1"/>
    </xf>
    <xf numFmtId="10" fontId="45" fillId="2" borderId="17" xfId="0" applyNumberFormat="1" applyFont="1" applyFill="1" applyBorder="1" applyAlignment="1">
      <alignment wrapText="1"/>
    </xf>
    <xf numFmtId="177" fontId="45" fillId="2" borderId="17" xfId="0" applyNumberFormat="1" applyFont="1" applyFill="1" applyBorder="1" applyAlignment="1" applyProtection="1">
      <alignment wrapText="1"/>
      <protection locked="0"/>
    </xf>
    <xf numFmtId="177" fontId="45" fillId="2" borderId="25" xfId="0" applyNumberFormat="1" applyFont="1" applyFill="1" applyBorder="1" applyAlignment="1" applyProtection="1">
      <alignment wrapText="1"/>
      <protection locked="0"/>
    </xf>
    <xf numFmtId="10" fontId="45" fillId="2" borderId="25" xfId="0" applyNumberFormat="1" applyFont="1" applyFill="1" applyBorder="1" applyAlignment="1">
      <alignment wrapText="1"/>
    </xf>
    <xf numFmtId="177" fontId="45" fillId="2" borderId="25" xfId="0" applyNumberFormat="1" applyFont="1" applyFill="1" applyBorder="1" applyAlignment="1">
      <alignment wrapText="1"/>
    </xf>
    <xf numFmtId="177" fontId="45" fillId="42" borderId="17" xfId="0" applyNumberFormat="1" applyFont="1" applyFill="1" applyBorder="1" applyAlignment="1" applyProtection="1">
      <alignment wrapText="1"/>
      <protection locked="0"/>
    </xf>
    <xf numFmtId="177" fontId="45" fillId="2" borderId="17" xfId="0" applyNumberFormat="1" applyFont="1" applyFill="1" applyBorder="1" applyAlignment="1">
      <alignment horizontal="center" vertical="center" wrapText="1"/>
    </xf>
    <xf numFmtId="177" fontId="46" fillId="2" borderId="15" xfId="0" applyNumberFormat="1" applyFont="1" applyFill="1" applyBorder="1" applyAlignment="1">
      <alignment vertical="top" wrapText="1"/>
    </xf>
    <xf numFmtId="177" fontId="45" fillId="2" borderId="15" xfId="0" applyNumberFormat="1" applyFont="1" applyFill="1" applyBorder="1" applyAlignment="1" applyProtection="1">
      <alignment vertical="top" wrapText="1"/>
      <protection locked="0"/>
    </xf>
    <xf numFmtId="43" fontId="45" fillId="2" borderId="33" xfId="0" applyNumberFormat="1" applyFont="1" applyFill="1" applyBorder="1" applyAlignment="1" applyProtection="1">
      <alignment vertical="top" wrapText="1"/>
      <protection locked="0"/>
    </xf>
    <xf numFmtId="177" fontId="45" fillId="2" borderId="17" xfId="0" applyNumberFormat="1" applyFont="1" applyFill="1" applyBorder="1" applyAlignment="1">
      <alignment vertical="top" wrapText="1"/>
    </xf>
    <xf numFmtId="177" fontId="45" fillId="2" borderId="34" xfId="0" applyNumberFormat="1" applyFont="1" applyFill="1" applyBorder="1" applyAlignment="1">
      <alignment vertical="top" wrapText="1"/>
    </xf>
    <xf numFmtId="177" fontId="45" fillId="2" borderId="25" xfId="0" applyNumberFormat="1" applyFont="1" applyFill="1" applyBorder="1" applyAlignment="1" applyProtection="1">
      <alignment vertical="top" wrapText="1"/>
      <protection locked="0"/>
    </xf>
    <xf numFmtId="177" fontId="45" fillId="2" borderId="35" xfId="0" applyNumberFormat="1" applyFont="1" applyFill="1" applyBorder="1" applyAlignment="1" applyProtection="1">
      <alignment vertical="top" wrapText="1"/>
      <protection locked="0"/>
    </xf>
    <xf numFmtId="177" fontId="45" fillId="2" borderId="15" xfId="0" applyNumberFormat="1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0" fontId="48" fillId="34" borderId="0" xfId="0" applyFont="1" applyFill="1" applyAlignment="1">
      <alignment/>
    </xf>
    <xf numFmtId="0" fontId="7" fillId="0" borderId="0" xfId="0" applyFont="1" applyFill="1" applyAlignment="1" quotePrefix="1">
      <alignment/>
    </xf>
    <xf numFmtId="4" fontId="0" fillId="0" borderId="0" xfId="0" applyNumberFormat="1" applyFont="1" applyFill="1" applyAlignment="1">
      <alignment/>
    </xf>
    <xf numFmtId="0" fontId="0" fillId="0" borderId="17" xfId="51" applyFont="1" applyFill="1" applyBorder="1" applyAlignment="1">
      <alignment horizontal="center" wrapText="1"/>
      <protection/>
    </xf>
    <xf numFmtId="177" fontId="0" fillId="0" borderId="17" xfId="51" applyNumberFormat="1" applyFont="1" applyFill="1" applyBorder="1" applyAlignment="1">
      <alignment wrapText="1"/>
      <protection/>
    </xf>
    <xf numFmtId="177" fontId="0" fillId="36" borderId="17" xfId="51" applyNumberFormat="1" applyFont="1" applyFill="1" applyBorder="1" applyAlignment="1">
      <alignment wrapText="1"/>
      <protection/>
    </xf>
    <xf numFmtId="0" fontId="0" fillId="0" borderId="34" xfId="51" applyFont="1" applyFill="1" applyBorder="1" applyAlignment="1">
      <alignment horizontal="center" wrapText="1"/>
      <protection/>
    </xf>
    <xf numFmtId="0" fontId="0" fillId="0" borderId="25" xfId="51" applyFont="1" applyFill="1" applyBorder="1" applyAlignment="1">
      <alignment horizontal="center" wrapText="1"/>
      <protection/>
    </xf>
    <xf numFmtId="177" fontId="0" fillId="0" borderId="25" xfId="51" applyNumberFormat="1" applyFont="1" applyFill="1" applyBorder="1" applyAlignment="1">
      <alignment wrapText="1"/>
      <protection/>
    </xf>
    <xf numFmtId="0" fontId="0" fillId="0" borderId="35" xfId="51" applyFont="1" applyFill="1" applyBorder="1" applyAlignment="1">
      <alignment horizontal="center" wrapText="1"/>
      <protection/>
    </xf>
    <xf numFmtId="177" fontId="0" fillId="36" borderId="25" xfId="51" applyNumberFormat="1" applyFont="1" applyFill="1" applyBorder="1" applyAlignment="1">
      <alignment wrapText="1"/>
      <protection/>
    </xf>
    <xf numFmtId="0" fontId="0" fillId="36" borderId="15" xfId="51" applyFont="1" applyFill="1" applyBorder="1" applyAlignment="1">
      <alignment horizontal="center" wrapText="1"/>
      <protection/>
    </xf>
    <xf numFmtId="4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 vertical="top" wrapText="1"/>
    </xf>
    <xf numFmtId="0" fontId="0" fillId="35" borderId="20" xfId="0" applyFill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44" fontId="0" fillId="0" borderId="15" xfId="49" applyFont="1" applyBorder="1" applyAlignment="1">
      <alignment/>
    </xf>
    <xf numFmtId="0" fontId="15" fillId="0" borderId="15" xfId="52" applyFont="1" applyBorder="1">
      <alignment/>
      <protection/>
    </xf>
    <xf numFmtId="0" fontId="15" fillId="0" borderId="15" xfId="0" applyFont="1" applyBorder="1" applyAlignment="1">
      <alignment/>
    </xf>
    <xf numFmtId="0" fontId="20" fillId="0" borderId="15" xfId="0" applyFont="1" applyFill="1" applyBorder="1" applyAlignment="1">
      <alignment vertical="top" wrapText="1"/>
    </xf>
    <xf numFmtId="0" fontId="15" fillId="42" borderId="15" xfId="52" applyFont="1" applyFill="1" applyBorder="1">
      <alignment/>
      <protection/>
    </xf>
    <xf numFmtId="0" fontId="0" fillId="0" borderId="15" xfId="0" applyFont="1" applyBorder="1" applyAlignment="1">
      <alignment/>
    </xf>
    <xf numFmtId="0" fontId="83" fillId="0" borderId="15" xfId="52" applyFont="1" applyBorder="1">
      <alignment/>
      <protection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8" fontId="20" fillId="0" borderId="36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8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8" fontId="33" fillId="37" borderId="0" xfId="0" applyNumberFormat="1" applyFont="1" applyFill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38" fontId="33" fillId="38" borderId="0" xfId="0" applyNumberFormat="1" applyFont="1" applyFill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horizontal="center" vertical="center" wrapText="1"/>
      <protection/>
    </xf>
    <xf numFmtId="0" fontId="33" fillId="37" borderId="27" xfId="0" applyFont="1" applyFill="1" applyBorder="1" applyAlignment="1" applyProtection="1">
      <alignment horizontal="center" vertical="center"/>
      <protection/>
    </xf>
    <xf numFmtId="0" fontId="5" fillId="38" borderId="27" xfId="0" applyFont="1" applyFill="1" applyBorder="1" applyAlignment="1">
      <alignment vertical="center"/>
    </xf>
    <xf numFmtId="49" fontId="33" fillId="36" borderId="16" xfId="0" applyNumberFormat="1" applyFont="1" applyFill="1" applyBorder="1" applyAlignment="1" applyProtection="1">
      <alignment horizontal="center" vertical="center" wrapText="1"/>
      <protection/>
    </xf>
    <xf numFmtId="0" fontId="33" fillId="36" borderId="25" xfId="0" applyFont="1" applyFill="1" applyBorder="1" applyAlignment="1" applyProtection="1">
      <alignment horizontal="center" vertical="center" wrapText="1"/>
      <protection/>
    </xf>
    <xf numFmtId="0" fontId="33" fillId="36" borderId="26" xfId="0" applyFont="1" applyFill="1" applyBorder="1" applyAlignment="1" applyProtection="1">
      <alignment horizontal="center" vertical="center" wrapText="1"/>
      <protection/>
    </xf>
    <xf numFmtId="38" fontId="33" fillId="36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33" fillId="36" borderId="0" xfId="0" applyNumberFormat="1" applyFont="1" applyFill="1" applyAlignment="1" applyProtection="1">
      <alignment horizontal="center" vertical="center" wrapText="1"/>
      <protection/>
    </xf>
    <xf numFmtId="0" fontId="36" fillId="38" borderId="27" xfId="0" applyFont="1" applyFill="1" applyBorder="1" applyAlignment="1">
      <alignment horizontal="center" wrapText="1"/>
    </xf>
    <xf numFmtId="0" fontId="5" fillId="38" borderId="27" xfId="0" applyFont="1" applyFill="1" applyBorder="1" applyAlignment="1">
      <alignment horizontal="center" wrapText="1"/>
    </xf>
    <xf numFmtId="0" fontId="33" fillId="36" borderId="26" xfId="66" applyNumberFormat="1" applyFont="1" applyFill="1" applyBorder="1" applyAlignment="1" applyProtection="1">
      <alignment horizontal="center" vertical="center"/>
      <protection/>
    </xf>
    <xf numFmtId="0" fontId="16" fillId="0" borderId="63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9" xfId="0" applyBorder="1" applyAlignment="1">
      <alignment wrapText="1"/>
    </xf>
    <xf numFmtId="0" fontId="6" fillId="36" borderId="15" xfId="0" applyFont="1" applyFill="1" applyBorder="1" applyAlignment="1">
      <alignment horizontal="center" vertical="center" wrapText="1"/>
    </xf>
    <xf numFmtId="38" fontId="14" fillId="0" borderId="36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41" fillId="36" borderId="15" xfId="0" applyFont="1" applyFill="1" applyBorder="1" applyAlignment="1">
      <alignment horizontal="center" vertical="center" wrapText="1"/>
    </xf>
    <xf numFmtId="38" fontId="41" fillId="0" borderId="36" xfId="0" applyNumberFormat="1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38" fontId="0" fillId="0" borderId="36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0" fontId="5" fillId="0" borderId="54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203" fontId="21" fillId="0" borderId="33" xfId="0" applyNumberFormat="1" applyFont="1" applyFill="1" applyBorder="1" applyAlignment="1">
      <alignment textRotation="90" wrapText="1"/>
    </xf>
    <xf numFmtId="203" fontId="21" fillId="0" borderId="34" xfId="0" applyNumberFormat="1" applyFont="1" applyFill="1" applyBorder="1" applyAlignment="1">
      <alignment textRotation="90" wrapText="1"/>
    </xf>
    <xf numFmtId="203" fontId="21" fillId="0" borderId="35" xfId="0" applyNumberFormat="1" applyFont="1" applyFill="1" applyBorder="1" applyAlignment="1">
      <alignment textRotation="90" wrapText="1"/>
    </xf>
    <xf numFmtId="173" fontId="0" fillId="0" borderId="18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/>
    </xf>
    <xf numFmtId="0" fontId="0" fillId="0" borderId="6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17" fillId="36" borderId="29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6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3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54" xfId="0" applyFont="1" applyBorder="1" applyAlignment="1">
      <alignment wrapText="1"/>
    </xf>
    <xf numFmtId="203" fontId="17" fillId="40" borderId="33" xfId="0" applyNumberFormat="1" applyFont="1" applyFill="1" applyBorder="1" applyAlignment="1">
      <alignment textRotation="90" wrapText="1"/>
    </xf>
    <xf numFmtId="0" fontId="0" fillId="0" borderId="34" xfId="0" applyBorder="1" applyAlignment="1">
      <alignment textRotation="90" wrapText="1"/>
    </xf>
    <xf numFmtId="0" fontId="0" fillId="0" borderId="35" xfId="0" applyBorder="1" applyAlignment="1">
      <alignment textRotation="90" wrapText="1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38" fontId="17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7" fillId="0" borderId="18" xfId="0" applyFont="1" applyBorder="1" applyAlignment="1">
      <alignment wrapText="1"/>
    </xf>
    <xf numFmtId="173" fontId="17" fillId="0" borderId="18" xfId="0" applyNumberFormat="1" applyFont="1" applyBorder="1" applyAlignment="1">
      <alignment horizontal="right" wrapText="1"/>
    </xf>
    <xf numFmtId="0" fontId="17" fillId="0" borderId="18" xfId="0" applyFont="1" applyBorder="1" applyAlignment="1">
      <alignment horizontal="right" wrapText="1"/>
    </xf>
    <xf numFmtId="203" fontId="0" fillId="0" borderId="33" xfId="0" applyNumberFormat="1" applyFont="1" applyFill="1" applyBorder="1" applyAlignment="1">
      <alignment textRotation="90" wrapText="1"/>
    </xf>
    <xf numFmtId="203" fontId="0" fillId="0" borderId="34" xfId="0" applyNumberFormat="1" applyFont="1" applyFill="1" applyBorder="1" applyAlignment="1">
      <alignment textRotation="90" wrapText="1"/>
    </xf>
    <xf numFmtId="203" fontId="0" fillId="0" borderId="35" xfId="0" applyNumberFormat="1" applyFont="1" applyFill="1" applyBorder="1" applyAlignment="1">
      <alignment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justify"/>
    </xf>
    <xf numFmtId="0" fontId="5" fillId="0" borderId="54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/>
    </xf>
    <xf numFmtId="0" fontId="46" fillId="0" borderId="36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0" fontId="46" fillId="0" borderId="38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46" fillId="0" borderId="16" xfId="0" applyFont="1" applyFill="1" applyBorder="1" applyAlignment="1">
      <alignment wrapText="1"/>
    </xf>
    <xf numFmtId="0" fontId="45" fillId="0" borderId="16" xfId="0" applyFont="1" applyFill="1" applyBorder="1" applyAlignment="1">
      <alignment wrapText="1"/>
    </xf>
    <xf numFmtId="0" fontId="46" fillId="0" borderId="26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left"/>
    </xf>
    <xf numFmtId="38" fontId="45" fillId="0" borderId="36" xfId="0" applyNumberFormat="1" applyFont="1" applyFill="1" applyBorder="1" applyAlignment="1">
      <alignment horizontal="center"/>
    </xf>
    <xf numFmtId="0" fontId="45" fillId="0" borderId="26" xfId="0" applyFont="1" applyFill="1" applyBorder="1" applyAlignment="1">
      <alignment wrapText="1"/>
    </xf>
    <xf numFmtId="0" fontId="46" fillId="0" borderId="56" xfId="0" applyFont="1" applyFill="1" applyBorder="1" applyAlignment="1">
      <alignment wrapText="1"/>
    </xf>
    <xf numFmtId="0" fontId="46" fillId="0" borderId="54" xfId="0" applyFont="1" applyFill="1" applyBorder="1" applyAlignment="1">
      <alignment wrapText="1"/>
    </xf>
    <xf numFmtId="0" fontId="45" fillId="0" borderId="26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left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/>
    </xf>
    <xf numFmtId="4" fontId="0" fillId="0" borderId="63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5" fillId="0" borderId="6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37" fontId="0" fillId="0" borderId="63" xfId="0" applyNumberFormat="1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39" xfId="0" applyNumberFormat="1" applyFont="1" applyFill="1" applyBorder="1" applyAlignment="1">
      <alignment horizontal="center" vertical="center"/>
    </xf>
    <xf numFmtId="38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8" fontId="0" fillId="0" borderId="22" xfId="0" applyNumberFormat="1" applyFont="1" applyFill="1" applyBorder="1" applyAlignment="1">
      <alignment horizontal="right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4" fontId="0" fillId="0" borderId="63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36" borderId="26" xfId="51" applyFont="1" applyFill="1" applyBorder="1" applyAlignment="1">
      <alignment wrapText="1"/>
      <protection/>
    </xf>
    <xf numFmtId="0" fontId="0" fillId="36" borderId="39" xfId="51" applyFont="1" applyFill="1" applyBorder="1" applyAlignment="1">
      <alignment wrapText="1"/>
      <protection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36" borderId="29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0" fillId="0" borderId="33" xfId="51" applyFont="1" applyFill="1" applyBorder="1" applyAlignment="1">
      <alignment horizontal="center" wrapText="1"/>
      <protection/>
    </xf>
    <xf numFmtId="0" fontId="0" fillId="0" borderId="34" xfId="51" applyFont="1" applyFill="1" applyBorder="1" applyAlignment="1">
      <alignment horizontal="center" wrapText="1"/>
      <protection/>
    </xf>
    <xf numFmtId="38" fontId="15" fillId="0" borderId="36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8" fontId="17" fillId="0" borderId="36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7" fillId="0" borderId="0" xfId="0" applyFont="1" applyBorder="1" applyAlignment="1">
      <alignment horizontal="justify" wrapText="1"/>
    </xf>
    <xf numFmtId="173" fontId="17" fillId="0" borderId="0" xfId="0" applyNumberFormat="1" applyFont="1" applyBorder="1" applyAlignment="1">
      <alignment horizontal="right" wrapText="1"/>
    </xf>
    <xf numFmtId="0" fontId="6" fillId="36" borderId="35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justify" wrapText="1"/>
    </xf>
    <xf numFmtId="38" fontId="17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1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24" xfId="0" applyBorder="1" applyAlignment="1">
      <alignment/>
    </xf>
    <xf numFmtId="0" fontId="2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1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21" fillId="35" borderId="70" xfId="0" applyFont="1" applyFill="1" applyBorder="1" applyAlignment="1">
      <alignment horizontal="center" vertical="top" wrapText="1"/>
    </xf>
    <xf numFmtId="0" fontId="21" fillId="35" borderId="71" xfId="0" applyFont="1" applyFill="1" applyBorder="1" applyAlignment="1">
      <alignment horizontal="center" vertical="top" wrapText="1"/>
    </xf>
    <xf numFmtId="0" fontId="21" fillId="35" borderId="21" xfId="0" applyFont="1" applyFill="1" applyBorder="1" applyAlignment="1">
      <alignment horizontal="center" vertical="top" wrapText="1"/>
    </xf>
    <xf numFmtId="0" fontId="21" fillId="35" borderId="22" xfId="0" applyFont="1" applyFill="1" applyBorder="1" applyAlignment="1">
      <alignment horizontal="center" vertical="top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6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0</xdr:rowOff>
    </xdr:from>
    <xdr:to>
      <xdr:col>6</xdr:col>
      <xdr:colOff>933450</xdr:colOff>
      <xdr:row>28</xdr:row>
      <xdr:rowOff>152400</xdr:rowOff>
    </xdr:to>
    <xdr:sp>
      <xdr:nvSpPr>
        <xdr:cNvPr id="1" name="Rectangle 1"/>
        <xdr:cNvSpPr>
          <a:spLocks/>
        </xdr:cNvSpPr>
      </xdr:nvSpPr>
      <xdr:spPr>
        <a:xfrm flipV="1">
          <a:off x="190500" y="3476625"/>
          <a:ext cx="9439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origem/espécia/rubrica de receita e/ou grupo de natureza de despesa.</a:t>
          </a:r>
        </a:p>
      </xdr:txBody>
    </xdr:sp>
    <xdr:clientData/>
  </xdr:twoCellAnchor>
  <xdr:twoCellAnchor>
    <xdr:from>
      <xdr:col>0</xdr:col>
      <xdr:colOff>1971675</xdr:colOff>
      <xdr:row>26</xdr:row>
      <xdr:rowOff>0</xdr:rowOff>
    </xdr:from>
    <xdr:to>
      <xdr:col>6</xdr:col>
      <xdr:colOff>314325</xdr:colOff>
      <xdr:row>26</xdr:row>
      <xdr:rowOff>0</xdr:rowOff>
    </xdr:to>
    <xdr:sp>
      <xdr:nvSpPr>
        <xdr:cNvPr id="2" name="Line 6"/>
        <xdr:cNvSpPr>
          <a:spLocks/>
        </xdr:cNvSpPr>
      </xdr:nvSpPr>
      <xdr:spPr>
        <a:xfrm>
          <a:off x="1971675" y="347662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9067800" y="3476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5</xdr:col>
      <xdr:colOff>742950</xdr:colOff>
      <xdr:row>43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4981575"/>
          <a:ext cx="62865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Conforme os arts. 13, 54 e 55 do Projeto de Lei das Diretrizes Orçamentárias, a estimativa de renúncia de receita deverá estar inserida na metodologia de cálculo da projeção da arrecadação efetiva dos tributos municipais.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Dessa forma, fica observado o atendimento do disposto no art. 14, I, da LRF, o qual determina que a renúncia deve ser considerada na estimativa de receita da lei orçamentária e de que não afetará as metas de resultados fiscais.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Consequentemente, as renúncias contempladas nesse demonstrativo não precisarão ser compensadas, poIs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0</xdr:rowOff>
    </xdr:from>
    <xdr:to>
      <xdr:col>1</xdr:col>
      <xdr:colOff>2847975</xdr:colOff>
      <xdr:row>42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23825" y="4276725"/>
          <a:ext cx="6429375" cy="327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Desse modo, para estimar o aumento permanente das receitas em 2019 considerou-se o incremento real, ou seja, a diferença entre os valores estimados a preços constantes das receitas  trbutárias e de transferências correntes, no biênio 2018-2019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mesma linha, o aumento permandente das despesas de caráter obrigatório que terão impacto em 20198, foi calculado pela diferença a valores constantes, observada no biênio 2018-2019 nos grupos de natureza de despesa "Pessoal" e "Outras Despesas Correntes", chegando-se, assim, ao saldo da margem líquida de expansão.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133350</xdr:rowOff>
    </xdr:from>
    <xdr:to>
      <xdr:col>3</xdr:col>
      <xdr:colOff>857250</xdr:colOff>
      <xdr:row>32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161925" y="5067300"/>
          <a:ext cx="6791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3º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219075</xdr:colOff>
      <xdr:row>47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01475" cy="774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25</xdr:row>
      <xdr:rowOff>142875</xdr:rowOff>
    </xdr:from>
    <xdr:to>
      <xdr:col>6</xdr:col>
      <xdr:colOff>485775</xdr:colOff>
      <xdr:row>35</xdr:row>
      <xdr:rowOff>114300</xdr:rowOff>
    </xdr:to>
    <xdr:sp>
      <xdr:nvSpPr>
        <xdr:cNvPr id="1" name="Rectangle 6"/>
        <xdr:cNvSpPr>
          <a:spLocks/>
        </xdr:cNvSpPr>
      </xdr:nvSpPr>
      <xdr:spPr>
        <a:xfrm>
          <a:off x="342900" y="5286375"/>
          <a:ext cx="87915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23</xdr:row>
      <xdr:rowOff>19050</xdr:rowOff>
    </xdr:from>
    <xdr:to>
      <xdr:col>12</xdr:col>
      <xdr:colOff>457200</xdr:colOff>
      <xdr:row>80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247650" y="3943350"/>
          <a:ext cx="11249025" cy="936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Demonstrativo de Metas Anuais objetiva estabelecer as metas para o triênio compreendendo o ano de vigência da LDO e os dois subsequentes, abrangendo a Receita e Despesa Total, Receitas Não Financeiras, Despesas Não Financeiras, Resultado Primário, Resultado Nominal e Dívida Pública, visando atender a disposição contida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1º da LRF.
</a:t>
          </a:r>
          <a:r>
            <a:rPr lang="en-US" cap="none" sz="1100" b="0" i="0" u="none" baseline="0">
              <a:solidFill>
                <a:srgbClr val="000000"/>
              </a:solidFill>
            </a:rPr>
            <a:t>Para melhor entendimento, cabem aqui os seguintes conceitos:
</a:t>
          </a:r>
          <a:r>
            <a:rPr lang="en-US" cap="none" sz="1100" b="0" i="0" u="none" baseline="0">
              <a:solidFill>
                <a:srgbClr val="000000"/>
              </a:solidFill>
            </a:rPr>
            <a:t>1 –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investimentos permenentes e temporários;
</a:t>
          </a:r>
          <a:r>
            <a:rPr lang="en-US" cap="none" sz="1100" b="0" i="0" u="none" baseline="0">
              <a:solidFill>
                <a:srgbClr val="000000"/>
              </a:solidFill>
            </a:rPr>
            <a:t>2 – as despesas primárias correspondem ao total da despesa orçamentária deduzidas as despesas com juros e amortização da dívida, aquisição de títulos de capital integralizado e as despesas com concessão de empréstimos com retorno garantido. 
</a:t>
          </a:r>
          <a:r>
            <a:rPr lang="en-US" cap="none" sz="1100" b="0" i="0" u="none" baseline="0">
              <a:solidFill>
                <a:srgbClr val="000000"/>
              </a:solidFill>
            </a:rPr>
            <a:t>3 – o resultado primário ACIMA DA LINHA corresponde à diferença entre as receitas primárias e despesas primárias evidenciando o esforço fiscal do Município;
</a:t>
          </a:r>
          <a:r>
            <a:rPr lang="en-US" cap="none" sz="1100" b="0" i="0" u="none" baseline="0">
              <a:solidFill>
                <a:srgbClr val="000000"/>
              </a:solidFill>
            </a:rPr>
            <a:t>4 – o resultado nominal calculado pelo critério ACIMA DA LINHA foi obtido a partir do resultado primário somado ao resultado da comperação entre  os juros ativos e passivos, representado a diferença entre o saldo previsto da dívida fiscal líquida em 31 de dezembro de determinado ano em relação ao apurado em 31 de dezembro do ano anterior; 
</a:t>
          </a:r>
          <a:r>
            <a:rPr lang="en-US" cap="none" sz="1100" b="0" i="0" u="none" baseline="0">
              <a:solidFill>
                <a:srgbClr val="000000"/>
              </a:solidFill>
            </a:rPr>
            <a:t>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</a:t>
          </a:r>
          <a:r>
            <a:rPr lang="en-US" cap="none" sz="1100" b="0" i="0" u="none" baseline="0">
              <a:solidFill>
                <a:srgbClr val="000000"/>
              </a:solidFill>
            </a:rPr>
            <a:t>6 – a dívida Consolidada Líquida – DCL - corresponde à dívida pública consolidada, deduzidos os valores que compreendem o ativo disponível e os haveres financeiros, líquidos dos Restos a Pagar Processados.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</a:rPr>
            <a:t>Premissas e Metodologia UtilizadaS: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1 -</a:t>
          </a:r>
          <a:r>
            <a:rPr lang="en-US" cap="none" sz="1100" b="0" i="0" u="none" baseline="0">
              <a:solidFill>
                <a:srgbClr val="000000"/>
              </a:solidFill>
            </a:rPr>
            <a:t> Os parâmetros macroeconômicos utilizados na elaboração das estimativas constantes no Anexo de Metas Fiscais são relacionados na </a:t>
          </a:r>
          <a:r>
            <a:rPr lang="en-US" cap="none" sz="1100" b="1" i="0" u="none" baseline="0">
              <a:solidFill>
                <a:srgbClr val="000000"/>
              </a:solidFill>
            </a:rPr>
            <a:t>Tabela 01.</a:t>
          </a:r>
          <a:r>
            <a:rPr lang="en-US" cap="none" sz="1100" b="0" i="0" u="none" baseline="0">
              <a:solidFill>
                <a:srgbClr val="000000"/>
              </a:solidFill>
            </a:rPr>
            <a:t>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(2015, 2016 e 2017) e os valores reestimados para o exercício atual (2018), além das premissas consideradas como verdadeiras e relacionadas, por exemplo, ao índice de inflação, crescimento do PIB, atualização da planta de valores do IPTU, ampliação do perímetro urbano da cidade, políticas de combate à evasão e à sonegação fiscal, comportamento das receitas oriundas de transferências da União e do Estado, dentre outros.
</a:t>
          </a:r>
          <a:r>
            <a:rPr lang="en-US" cap="none" sz="1100" b="1" i="0" u="none" baseline="0">
              <a:solidFill>
                <a:srgbClr val="000000"/>
              </a:solidFill>
            </a:rPr>
            <a:t>2 -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às despesas correntes, foram considerados os parâmetros de inflação, crescimento vegetativo e aumento real, quando cabível, das despesas de custeios.  Em relação aos investimentos, além da inflação, considerou-se a estimativa de crescimento real dessas despesas em nível que viabilize a sua expansão a fim de garantir, precipuamente, a conclusão dos projetos em andamento demonstrados no </a:t>
          </a:r>
          <a:r>
            <a:rPr lang="en-US" cap="none" sz="1100" b="1" i="0" u="none" baseline="0">
              <a:solidFill>
                <a:srgbClr val="000000"/>
              </a:solidFill>
            </a:rPr>
            <a:t>Anexo IV.</a:t>
          </a:r>
          <a:r>
            <a:rPr lang="en-US" cap="none" sz="1100" b="0" i="0" u="none" baseline="0">
              <a:solidFill>
                <a:srgbClr val="000000"/>
              </a:solidFill>
            </a:rPr>
            <a:t>  Asseguraram-se, ainda, os recursos para pagamento das obrigações decorrentes de juros e amortização da dívida pública.
</a:t>
          </a:r>
          <a:r>
            <a:rPr lang="en-US" cap="none" sz="1100" b="1" i="0" u="none" baseline="0">
              <a:solidFill>
                <a:srgbClr val="000000"/>
              </a:solidFill>
            </a:rPr>
            <a:t>3 –</a:t>
          </a:r>
          <a:r>
            <a:rPr lang="en-US" cap="none" sz="1100" b="0" i="0" u="none" baseline="0">
              <a:solidFill>
                <a:srgbClr val="000000"/>
              </a:solidFill>
            </a:rPr>
            <a:t> No tocante às despesas com pessoal, em específico, foi considerado o provável efeito da revisão geral anual prevista na Constituição da República, o crescimento vegetativo da folha salarial e eventual aumento acima dos níveis inflacionários.
</a:t>
          </a:r>
          <a:r>
            <a:rPr lang="en-US" cap="none" sz="1100" b="1" i="0" u="none" baseline="0">
              <a:solidFill>
                <a:srgbClr val="000000"/>
              </a:solidFill>
            </a:rPr>
            <a:t>4 -</a:t>
          </a:r>
          <a:r>
            <a:rPr lang="en-US" cap="none" sz="1100" b="0" i="0" u="none" baseline="0">
              <a:solidFill>
                <a:srgbClr val="000000"/>
              </a:solidFill>
            </a:rPr>
            <a:t> Considera-se o PIB e o IPCA como as principais variáveis para explicar o crescimento nominal das receitas, visto que boa parte das receitas tributárias e não tributárias, bem como as transferências constitucionais e legais acompanham o ritmo das atividades econômicas de âmbito nacional. Assim, para os exercícios de 2019, 2020 e 2021, considerou-se um crescimento do Produto Interno Bruto nacional de     2,49%,   2,59% e  2,61% e das taxas de inflação (IPCA), de       4,14%, 4,03% e 3,90%, respectivamente, cujas projeções decorrem do sistema de expectativa de mercado, segundo informações do sítio do Banco Central do Brasil, verificadas em  17/09/2018.
</a:t>
          </a:r>
          <a:r>
            <a:rPr lang="en-US" cap="none" sz="1100" b="1" i="0" u="none" baseline="0">
              <a:solidFill>
                <a:srgbClr val="000000"/>
              </a:solidFill>
            </a:rPr>
            <a:t>5 -</a:t>
          </a:r>
          <a:r>
            <a:rPr lang="en-US" cap="none" sz="1100" b="0" i="0" u="none" baseline="0">
              <a:solidFill>
                <a:srgbClr val="000000"/>
              </a:solidFill>
            </a:rPr>
            <a:t> Outro ponto importante a ser destacado é que a receita do Município, conforme estabelece o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3º, do art. 1º da Lei Complementar nº 101/00, compreende as receitas de todos os órgãos da Administração Pública Municipal, inclusive as receitas intraorçamentárias.
</a:t>
          </a:r>
          <a:r>
            <a:rPr lang="en-US" cap="none" sz="1100" b="1" i="0" u="none" baseline="0">
              <a:solidFill>
                <a:srgbClr val="000000"/>
              </a:solidFill>
            </a:rPr>
            <a:t>6 -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ao cálculo do Resultado Primário e do Resultado Nominal, considerou a metodologia estabelecida na Portaria STN nº 495/2017 e suas alterações. Os resultados primários previstos para os três exercícios são considerados suficientes para manutenção do equilíbrio fiscal. Cabe ponderar que, nos termos do art. 2º da LDO, o resultado primário poderá ser revisto por ocasião da elaboração da Lei Orçamentária Anual ou durante o exercício de 2019. O resultado nominal reflete a variação do endividamento fiscal líquido entre as datas referidas.
</a:t>
          </a:r>
          <a:r>
            <a:rPr lang="en-US" cap="none" sz="1100" b="1" i="0" u="none" baseline="0">
              <a:solidFill>
                <a:srgbClr val="000000"/>
              </a:solidFill>
            </a:rPr>
            <a:t>7 -</a:t>
          </a:r>
          <a:r>
            <a:rPr lang="en-US" cap="none" sz="1100" b="0" i="0" u="none" baseline="0">
              <a:solidFill>
                <a:srgbClr val="000000"/>
              </a:solidFill>
            </a:rPr>
            <a:t> Na estimativa do montante da dívida consolidada para 2019, 2020 e 2021, utilizou-se, como parâmetros a previsão da média anual para a taxa de juros SELIC,  de 7,42%, 8,19% e 8,27%, segundo informações do sítio do Banco Central do Brasil, verificadas em  17/09/2018.  
</a:t>
          </a:r>
          <a:r>
            <a:rPr lang="en-US" cap="none" sz="1100" b="1" i="0" u="none" baseline="0">
              <a:solidFill>
                <a:srgbClr val="000000"/>
              </a:solidFill>
            </a:rPr>
            <a:t>8 -</a:t>
          </a:r>
          <a:r>
            <a:rPr lang="en-US" cap="none" sz="1100" b="0" i="0" u="none" baseline="0">
              <a:solidFill>
                <a:srgbClr val="000000"/>
              </a:solidFill>
            </a:rPr>
            <a:t> Já na apuração do montante da dívida líquida, os valores das Disponibilidades Financeiras foram calculados levando-se em consideração a estimativa da posição em 31/12/2018, projetando-se os valores futuros com base nos percentuais médios dos valores realizados no ano anterior.
</a:t>
          </a:r>
          <a:r>
            <a:rPr lang="en-US" cap="none" sz="1100" b="1" i="0" u="none" baseline="0">
              <a:solidFill>
                <a:srgbClr val="000000"/>
              </a:solidFill>
            </a:rPr>
            <a:t>9 -</a:t>
          </a:r>
          <a:r>
            <a:rPr lang="en-US" cap="none" sz="1100" b="0" i="0" u="none" baseline="0">
              <a:solidFill>
                <a:srgbClr val="000000"/>
              </a:solidFill>
            </a:rPr>
            <a:t> Isso posto, podemos elencar, a partir da leitura das projeções estabelecidas para o ano de referência da LDO (2019), os números mais representativos no contexto das projeções:
</a:t>
          </a:r>
          <a:r>
            <a:rPr lang="en-US" cap="none" sz="1100" b="1" i="0" u="none" baseline="0">
              <a:solidFill>
                <a:srgbClr val="000000"/>
              </a:solidFill>
            </a:rPr>
            <a:t>9.1 -</a:t>
          </a:r>
          <a:r>
            <a:rPr lang="en-US" cap="none" sz="1100" b="0" i="0" u="none" baseline="0">
              <a:solidFill>
                <a:srgbClr val="000000"/>
              </a:solidFill>
            </a:rPr>
            <a:t> A receita total estimada para o exercício de 2019, consideradas todas as fontes de recursos é de R$ 86.135.423,07, a preços correntes que, deduzidas das receitas financeiras, representadas pelos Rendimentos das Aplicações Financeiras (R$ 5.826.698,99), e das resultantes de Amortização de Empréstimos Concedidos (R$ 21.269,88), resultam numa Receita Primária de R$ 80.287.454,20. 
</a:t>
          </a:r>
          <a:r>
            <a:rPr lang="en-US" cap="none" sz="1100" b="1" i="0" u="none" baseline="0">
              <a:solidFill>
                <a:srgbClr val="000000"/>
              </a:solidFill>
            </a:rPr>
            <a:t>9.2 -</a:t>
          </a:r>
          <a:r>
            <a:rPr lang="en-US" cap="none" sz="1100" b="0" i="0" u="none" baseline="0">
              <a:solidFill>
                <a:srgbClr val="000000"/>
              </a:solidFill>
            </a:rPr>
            <a:t>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R$ 71.200.763,05. Deduzindo-se as despesas financeiras com juros e encargos da dívida, estimadas em R$ 111.611,23, e a Amortização da Dívida Publica, estimada em R$ 409.885,08, tem-se que as despesas primárias para 2019 foram previstas em R$ 70.679.266,74.
</a:t>
          </a:r>
          <a:r>
            <a:rPr lang="en-US" cap="none" sz="1100" b="1" i="0" u="none" baseline="0">
              <a:solidFill>
                <a:srgbClr val="000000"/>
              </a:solidFill>
            </a:rPr>
            <a:t>9.3 -</a:t>
          </a:r>
          <a:r>
            <a:rPr lang="en-US" cap="none" sz="1100" b="0" i="0" u="none" baseline="0">
              <a:solidFill>
                <a:srgbClr val="000000"/>
              </a:solidFill>
            </a:rPr>
            <a:t> Cotejando-se o valor previsto para as receitas e despesas primárias em valores correntes, chega-se à meta de resultado primário de 2019 que foi inicialmente prevista em R$ 9.709.628,47, a qual entendemos como necessária e suficiente para preservar o equilíbrio nas contas públicas. No entanto, ressaltamos que, a depender do comportamento das variáveis macroeconômicas, ou na hipótese de frustração de arrecadação, a meta poderá ser alterada, conforme expressa previsão do art. 2º da LDO. O detalhamento do cálculo do Resultado Primário e nominal pelo Critério </a:t>
          </a:r>
          <a:r>
            <a:rPr lang="en-US" cap="none" sz="1100" b="1" i="0" u="none" baseline="0">
              <a:solidFill>
                <a:srgbClr val="000000"/>
              </a:solidFill>
            </a:rPr>
            <a:t>ACIMA DA LINHA é</a:t>
          </a:r>
          <a:r>
            <a:rPr lang="en-US" cap="none" sz="1100" b="0" i="0" u="none" baseline="0">
              <a:solidFill>
                <a:srgbClr val="000000"/>
              </a:solidFill>
            </a:rPr>
            <a:t> evidenciado na </a:t>
          </a:r>
          <a:r>
            <a:rPr lang="en-US" cap="none" sz="1100" b="1" i="0" u="none" baseline="0">
              <a:solidFill>
                <a:srgbClr val="000000"/>
              </a:solidFill>
            </a:rPr>
            <a:t>Tabela 02.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10 -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ao estoque da dívida, esse corresponde à posição em dezembro de cada exercício, considerando a previsão das amortizações e das liberações a serem realizadas no respectivo período, estando os valores evidenciados na </a:t>
          </a:r>
          <a:r>
            <a:rPr lang="en-US" cap="none" sz="1100" b="1" i="0" u="none" baseline="0">
              <a:solidFill>
                <a:srgbClr val="000000"/>
              </a:solidFill>
            </a:rPr>
            <a:t>Tabela 03
</a:t>
          </a:r>
          <a:r>
            <a:rPr lang="en-US" cap="none" sz="1100" b="1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00025" y="3800475"/>
          <a:ext cx="97917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152400</xdr:rowOff>
    </xdr:from>
    <xdr:to>
      <xdr:col>9</xdr:col>
      <xdr:colOff>0</xdr:colOff>
      <xdr:row>55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85725" y="3895725"/>
          <a:ext cx="8105775" cy="574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objetivo deste demonstrativo é estabelecer uma comparação entre as metas fixadas e o resultado obtido no exercício anterior ao da edição da LDO (2017), incluindo análise dos fatores determinantes para o alcance ou não dos valores estabelecidos como metas, visando a atender o disposto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2º, inciso I da LRF.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Assim, conforme demonstrado em audiência pública de avaliação das metas fiscais relativas ao terceiro quadrimestre do exercício financeiro de 2017 (art. 9º, </a:t>
          </a:r>
          <a:r>
            <a:rPr lang="en-US" cap="none" sz="1100" b="0" i="0" u="none" baseline="0">
              <a:solidFill>
                <a:srgbClr val="000000"/>
              </a:solidFill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4º da LRF), o resultado primário, principal indicador de sustentabilidade fiscal do setor público, ficou em R$ 7.027.727,56 valor  % 196,68 superior  à meta estabelecida, que era de R$ - 7.268.865,00. O desempenho verificado demonstra que o ingresso das receitas primárias (não financeiras) foi  capaz de suportar o total das despesas primárias (não financeiras) do exercício.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As receitas não financeiras totalizaram R$ 74.511.305,75, superando  em  1,71% a projeção para o período de R$ 73.255.369,00. As despesas não financeiras atingiram R$ 67.483.578,18,  estabelecendo-se  16,19%  abaixo da previsão orçamentária, correspondendo a  90,57 % do total das receitas primárias, indicando a ocorrência de superávit primário.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Em parte, esse resultado é em decorrência do desempenho favorável apresentado pela receita, tendo sido fortemente condicionado pelo comportamento das receita corrente intraorçamentária, que apresentaram um  incremento  de  20,94% em relação ao valor consignado no orçamento.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 dívida consolidada totalizou R$ 1.384.534,26, valor  9,37% inferior ao saldo de R$ 1.527.714,89 estimado para o exercício. Tal comportamento é reflexo da diminuição dos recebimentos de receitas de operação de crédito que a projeção consignada na Lei do Orçamento 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No anexo de metas fiscais, que acompanhou a LDO para 2017, estipulou-se o montante da dívida fiscal líquida em R$ -189.187,83. Contudo, os resultados efetivamente apurados e especificados no Relatório Resumido de Execução Orçamentária, e avaliados ao final daquele exercício apontam que o estoque da dívida, atualizado em dezembro daquele ano era de R$ -4.756.927,03 que, comparado com o montante apurado ao final de 2016,apresentou um resultado nominal de R$ 13.155.041,60, que ficou acima da previsão inicial da LDO, que era deR$-189.187,83.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66700" y="5429250"/>
          <a:ext cx="104489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(2018), em comparação com as estabelecidas para os três exercícios anteriores  (2015, 2016 e 2017), bem como para os dois seguintes (2019 e 2020), referentes à Receita Total, Receitas Não Financeiras, Despesas Não Financeiras, Resultado Primário, Resultado Nominal, Dívida Pública Consolidada e Dívida Consolidada Líquida, cumprindo, assim, 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relativos às previsões de Receitas, Despesas e Resultado Primário de 2015, 2016 e 2017 foram atualizados pelas respectivas Leis Orçamentárias Anuais. Já os valores da previsão do Resultado Nominal, Dívida Consolidada e Dívida Consolidada Líquida, foram extraídos dos anexos de metas fiscais das respectivas LDO.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em relação às previsões para os exercícios de 2018, 2019 e 2020,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28575</xdr:rowOff>
    </xdr:from>
    <xdr:to>
      <xdr:col>6</xdr:col>
      <xdr:colOff>552450</xdr:colOff>
      <xdr:row>42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42875" y="6162675"/>
          <a:ext cx="680085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presente demonstrativo visa a demonstrar a evolução do Patrimônio Líquido nos três exercícios anteriores ao da edição da LDO (2015, 2016 e 2017), cumprindo, dessa forma,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III,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Nesse sentido, é preciso enfatizar que o Município segue as normas da Lei 4.320/64, não apresentando no seu balanço as nomenclaturas previstas na Lei 6.404/76. Assim, em vez de "Resultado Acumulado", ou "Lucros ou Prejupizos Acumulados" o Município utiliza a nomenclatura de "Superávit ou Déficit do Exercício".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Sistema de Previdência, por força da Lei Municipal nº 2374, está sobre a gestão do Fundo de Previdência do Município de Ivoti, sendo que seus registros contábeis estão em conformidade com as Normas do Ministério da Previdência Social e apartados das demais contas do Município.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termos consolidados, a evolução do Patrimônio Líquido do Município, nos últimos três exercícios, demonstrada para o período de 2015 a 2017, aponta que o saldo patrimonial  aumentou de R$ 50.589.517,46 em 31.12.2015 para R$ 65.205.570,80 em 31.12.2017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..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123825</xdr:rowOff>
    </xdr:from>
    <xdr:to>
      <xdr:col>3</xdr:col>
      <xdr:colOff>990600</xdr:colOff>
      <xdr:row>36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5743575"/>
          <a:ext cx="7038975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(2015,  2016 e 2017).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163</xdr:row>
      <xdr:rowOff>123825</xdr:rowOff>
    </xdr:from>
    <xdr:to>
      <xdr:col>7</xdr:col>
      <xdr:colOff>95250</xdr:colOff>
      <xdr:row>179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23412450"/>
          <a:ext cx="69723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inciso IV, alínea “a”, da Lei de Responsabilidade Fiscal – LRF, o qual determina que o Anexo de Metas Fiscais conterá a avaliação da situação financeira e atuarial do Regime Próprio de Previdência dos Servidores – RPPS.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acima apresentados tem como base o Anexo 4 – Demonstrativo das Receitas e Despesas Previdenciárias do Regime Próprio de Previdência dos Servidores, publicado no Relatório Resumido de Execução Orçamentária – RREO do último bimestre dos exercícios financeiros de 2015, 2016 e 2017, respectivamente.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os resultados da avaliação atuarial foram apresentados conforme o Anexo 10 – Demonstrativo da Projeção Atuarial do Regime Próprio dos Servidores, publicado no RREO do último bimestre dos exercícios de 2017.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nise\AppData\Local\Microsoft\Windows\Temporary%20Internet%20Files\Content.Outlook\U43WM0E1\reestimativa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enifer\PPA\Anexos%20PP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enifer\PPA\Anexos%20e%20Tabelas%20Lei\Anexos%20PPA%20L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ta"/>
      <sheetName val="Paga Ent1"/>
      <sheetName val="Paga Ent2"/>
      <sheetName val="Paga Ent3"/>
    </sheetNames>
    <sheetDataSet>
      <sheetData sheetId="0">
        <row r="18">
          <cell r="H18">
            <v>1310000</v>
          </cell>
        </row>
        <row r="28">
          <cell r="H28">
            <v>77000</v>
          </cell>
        </row>
        <row r="34">
          <cell r="H34">
            <v>79000</v>
          </cell>
        </row>
        <row r="49">
          <cell r="H49">
            <v>6000000</v>
          </cell>
        </row>
        <row r="59">
          <cell r="H59">
            <v>945000</v>
          </cell>
        </row>
        <row r="82">
          <cell r="H82">
            <v>158000</v>
          </cell>
        </row>
        <row r="103">
          <cell r="H103">
            <v>3350000</v>
          </cell>
        </row>
        <row r="116">
          <cell r="H116">
            <v>75000</v>
          </cell>
        </row>
        <row r="136">
          <cell r="H136">
            <v>160000</v>
          </cell>
        </row>
        <row r="152">
          <cell r="H152">
            <v>72000</v>
          </cell>
        </row>
        <row r="168">
          <cell r="H168">
            <v>2067700</v>
          </cell>
        </row>
        <row r="227">
          <cell r="H227">
            <v>2000</v>
          </cell>
        </row>
        <row r="237">
          <cell r="H237">
            <v>2650000</v>
          </cell>
        </row>
        <row r="259">
          <cell r="H259">
            <v>50000</v>
          </cell>
        </row>
        <row r="270">
          <cell r="H270">
            <v>120000</v>
          </cell>
        </row>
        <row r="342">
          <cell r="H342">
            <v>500000</v>
          </cell>
        </row>
        <row r="350">
          <cell r="H350">
            <v>3260000</v>
          </cell>
        </row>
        <row r="354">
          <cell r="H354">
            <v>10000</v>
          </cell>
        </row>
        <row r="362">
          <cell r="H362">
            <v>25000</v>
          </cell>
        </row>
        <row r="371">
          <cell r="H371">
            <v>7515100</v>
          </cell>
        </row>
        <row r="421">
          <cell r="H421">
            <v>14460000</v>
          </cell>
        </row>
        <row r="427">
          <cell r="H427">
            <v>670000</v>
          </cell>
        </row>
        <row r="433">
          <cell r="H433">
            <v>650000</v>
          </cell>
        </row>
        <row r="450">
          <cell r="H450">
            <v>2000</v>
          </cell>
        </row>
        <row r="458">
          <cell r="H458">
            <v>216000</v>
          </cell>
        </row>
        <row r="460">
          <cell r="H460">
            <v>1158000</v>
          </cell>
        </row>
        <row r="475">
          <cell r="H475">
            <v>154000</v>
          </cell>
        </row>
        <row r="484">
          <cell r="H484">
            <v>1777000</v>
          </cell>
        </row>
        <row r="517">
          <cell r="H517">
            <v>82000</v>
          </cell>
        </row>
        <row r="525">
          <cell r="H525">
            <v>263000</v>
          </cell>
        </row>
        <row r="530">
          <cell r="H530">
            <v>68000</v>
          </cell>
        </row>
        <row r="539">
          <cell r="H539">
            <v>13128000</v>
          </cell>
        </row>
        <row r="546">
          <cell r="H546">
            <v>3749000</v>
          </cell>
        </row>
        <row r="552">
          <cell r="H552">
            <v>220000</v>
          </cell>
        </row>
        <row r="569">
          <cell r="H569">
            <v>53000</v>
          </cell>
        </row>
        <row r="572">
          <cell r="H572">
            <v>478000</v>
          </cell>
        </row>
        <row r="580">
          <cell r="H580">
            <v>56000</v>
          </cell>
        </row>
        <row r="585">
          <cell r="H585">
            <v>179000</v>
          </cell>
        </row>
        <row r="595">
          <cell r="H595">
            <v>22000</v>
          </cell>
        </row>
        <row r="604">
          <cell r="H604">
            <v>15971000</v>
          </cell>
        </row>
        <row r="611">
          <cell r="H611">
            <v>70000</v>
          </cell>
        </row>
        <row r="617">
          <cell r="H617">
            <v>74000</v>
          </cell>
        </row>
        <row r="650">
          <cell r="H650">
            <v>45000</v>
          </cell>
        </row>
        <row r="678">
          <cell r="H678">
            <v>460000</v>
          </cell>
        </row>
        <row r="707">
          <cell r="H707">
            <v>120000</v>
          </cell>
        </row>
        <row r="714">
          <cell r="H714">
            <v>30000</v>
          </cell>
        </row>
        <row r="727">
          <cell r="H727">
            <v>2395000</v>
          </cell>
        </row>
        <row r="764">
          <cell r="H764">
            <v>54000</v>
          </cell>
        </row>
        <row r="782">
          <cell r="H782">
            <v>7580000</v>
          </cell>
        </row>
        <row r="825">
          <cell r="H825">
            <v>1350000</v>
          </cell>
        </row>
      </sheetData>
      <sheetData sheetId="1">
        <row r="16">
          <cell r="F16">
            <v>11426.428</v>
          </cell>
        </row>
        <row r="23">
          <cell r="F23">
            <v>29333909.748</v>
          </cell>
        </row>
        <row r="185">
          <cell r="F185">
            <v>5962874.042666667</v>
          </cell>
        </row>
        <row r="199">
          <cell r="F199">
            <v>123011.46857142856</v>
          </cell>
        </row>
        <row r="203">
          <cell r="F203">
            <v>24227489.94857143</v>
          </cell>
        </row>
        <row r="544">
          <cell r="F544">
            <v>2547782.794285714</v>
          </cell>
        </row>
      </sheetData>
      <sheetData sheetId="2">
        <row r="15">
          <cell r="E15">
            <v>332306.3314285714</v>
          </cell>
        </row>
        <row r="46">
          <cell r="E46">
            <v>105334.86857142858</v>
          </cell>
        </row>
        <row r="148">
          <cell r="E148">
            <v>8880</v>
          </cell>
        </row>
      </sheetData>
      <sheetData sheetId="3">
        <row r="15">
          <cell r="E15">
            <v>2677192.492</v>
          </cell>
        </row>
        <row r="49">
          <cell r="E49">
            <v>165579.1885714286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Programas"/>
      <sheetName val="Anexo II - Resumo dos Programas"/>
      <sheetName val="Anexo III - Progr-Ação-Fun-Subf"/>
      <sheetName val="Anexo IV -Projetos e Atividades"/>
      <sheetName val="Plan1"/>
      <sheetName val="Plan2"/>
      <sheetName val="Plan3"/>
    </sheetNames>
    <sheetDataSet>
      <sheetData sheetId="3">
        <row r="8">
          <cell r="D8">
            <v>970000</v>
          </cell>
        </row>
        <row r="12">
          <cell r="D12">
            <v>1080000</v>
          </cell>
        </row>
        <row r="19">
          <cell r="D19">
            <v>1260000</v>
          </cell>
        </row>
        <row r="21">
          <cell r="D21">
            <v>218000</v>
          </cell>
        </row>
        <row r="22">
          <cell r="D22">
            <v>200000</v>
          </cell>
        </row>
        <row r="23">
          <cell r="D23">
            <v>737000</v>
          </cell>
        </row>
        <row r="24">
          <cell r="D24">
            <v>500000</v>
          </cell>
        </row>
        <row r="28">
          <cell r="D28">
            <v>360000</v>
          </cell>
        </row>
        <row r="31">
          <cell r="D31">
            <v>60000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Programas"/>
      <sheetName val="Anexo II - Resumo dos Programas"/>
      <sheetName val="Anexo III - Progr-Ação-Fun-Subf"/>
      <sheetName val="Anexo IV -Projetos e Atividades"/>
      <sheetName val="Plan1"/>
      <sheetName val="Plan2"/>
      <sheetName val="Plan3"/>
    </sheetNames>
    <sheetDataSet>
      <sheetData sheetId="3">
        <row r="36">
          <cell r="D36">
            <v>1730000</v>
          </cell>
        </row>
        <row r="37">
          <cell r="D37">
            <v>100000</v>
          </cell>
        </row>
        <row r="40">
          <cell r="D40">
            <v>6870000</v>
          </cell>
        </row>
        <row r="41">
          <cell r="D41">
            <v>886000</v>
          </cell>
        </row>
        <row r="44">
          <cell r="D44">
            <v>9700000</v>
          </cell>
        </row>
        <row r="45">
          <cell r="D45">
            <v>560000</v>
          </cell>
        </row>
        <row r="48">
          <cell r="D48">
            <v>220000</v>
          </cell>
        </row>
        <row r="50">
          <cell r="D50">
            <v>220000</v>
          </cell>
        </row>
        <row r="51">
          <cell r="D51">
            <v>140000</v>
          </cell>
        </row>
        <row r="52">
          <cell r="D52">
            <v>500000</v>
          </cell>
        </row>
        <row r="57">
          <cell r="D57">
            <v>4100000</v>
          </cell>
        </row>
        <row r="62">
          <cell r="D62">
            <v>2380000</v>
          </cell>
        </row>
        <row r="67">
          <cell r="D67">
            <v>730000</v>
          </cell>
        </row>
        <row r="71">
          <cell r="D71">
            <v>140000</v>
          </cell>
        </row>
        <row r="73">
          <cell r="D73">
            <v>37000</v>
          </cell>
        </row>
        <row r="78">
          <cell r="D78">
            <v>1320000</v>
          </cell>
        </row>
        <row r="79">
          <cell r="D79">
            <v>1200000</v>
          </cell>
        </row>
        <row r="81">
          <cell r="D81">
            <v>3851000</v>
          </cell>
        </row>
        <row r="85">
          <cell r="D85">
            <v>8790000</v>
          </cell>
        </row>
        <row r="86">
          <cell r="D86">
            <v>65000</v>
          </cell>
        </row>
        <row r="87">
          <cell r="D87">
            <v>1510000</v>
          </cell>
        </row>
        <row r="90">
          <cell r="D90">
            <v>650000</v>
          </cell>
        </row>
        <row r="91">
          <cell r="D91">
            <v>35000</v>
          </cell>
        </row>
        <row r="92">
          <cell r="D92">
            <v>45000</v>
          </cell>
        </row>
        <row r="93">
          <cell r="D93">
            <v>250000</v>
          </cell>
        </row>
        <row r="94">
          <cell r="D94">
            <v>710000</v>
          </cell>
        </row>
        <row r="95">
          <cell r="D95">
            <v>65000</v>
          </cell>
        </row>
        <row r="96">
          <cell r="D96">
            <v>55000</v>
          </cell>
        </row>
        <row r="98">
          <cell r="D98">
            <v>200000</v>
          </cell>
        </row>
        <row r="107">
          <cell r="D107">
            <v>4000000</v>
          </cell>
        </row>
        <row r="114">
          <cell r="D114">
            <v>1900000</v>
          </cell>
        </row>
        <row r="115">
          <cell r="D115">
            <v>4950000</v>
          </cell>
        </row>
        <row r="116">
          <cell r="D116">
            <v>850000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7:J26"/>
  <sheetViews>
    <sheetView showGridLines="0" zoomScale="120" zoomScaleNormal="120" zoomScaleSheetLayoutView="70" zoomScalePageLayoutView="0" workbookViewId="0" topLeftCell="A7">
      <selection activeCell="E16" sqref="E16"/>
    </sheetView>
  </sheetViews>
  <sheetFormatPr defaultColWidth="8.8515625" defaultRowHeight="12.75"/>
  <cols>
    <col min="1" max="1" width="53.57421875" style="30" customWidth="1"/>
    <col min="2" max="2" width="16.8515625" style="30" customWidth="1"/>
    <col min="3" max="3" width="16.57421875" style="30" customWidth="1"/>
    <col min="4" max="4" width="13.00390625" style="30" customWidth="1"/>
    <col min="5" max="5" width="14.57421875" style="30" customWidth="1"/>
    <col min="6" max="6" width="15.8515625" style="30" customWidth="1"/>
    <col min="7" max="7" width="15.140625" style="30" customWidth="1"/>
    <col min="8" max="16384" width="8.8515625" style="30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443" t="s">
        <v>622</v>
      </c>
      <c r="B7" s="444"/>
      <c r="C7" s="444"/>
      <c r="D7" s="444"/>
      <c r="E7" s="444"/>
      <c r="F7" s="444"/>
      <c r="G7" s="444"/>
      <c r="H7" s="444"/>
      <c r="I7" s="444"/>
      <c r="J7" s="445"/>
    </row>
    <row r="8" spans="1:10" ht="12">
      <c r="A8" s="446" t="s">
        <v>477</v>
      </c>
      <c r="B8" s="444"/>
      <c r="C8" s="444"/>
      <c r="D8" s="444"/>
      <c r="E8" s="444"/>
      <c r="F8" s="444"/>
      <c r="G8" s="444"/>
      <c r="H8" s="444"/>
      <c r="I8" s="444"/>
      <c r="J8" s="445"/>
    </row>
    <row r="9" spans="1:10" ht="21" customHeight="1">
      <c r="A9" s="447" t="s">
        <v>151</v>
      </c>
      <c r="B9" s="448"/>
      <c r="C9" s="448"/>
      <c r="D9" s="448"/>
      <c r="E9" s="448"/>
      <c r="F9" s="448"/>
      <c r="G9" s="448"/>
      <c r="H9" s="449"/>
      <c r="I9" s="449"/>
      <c r="J9" s="450"/>
    </row>
    <row r="10" spans="1:10" ht="25.5" customHeight="1">
      <c r="A10" s="366" t="s">
        <v>478</v>
      </c>
      <c r="B10" s="366">
        <v>2016</v>
      </c>
      <c r="C10" s="366">
        <f>B10+1</f>
        <v>2017</v>
      </c>
      <c r="D10" s="366">
        <f>C10+1</f>
        <v>2018</v>
      </c>
      <c r="E10" s="366">
        <f>D10+1</f>
        <v>2019</v>
      </c>
      <c r="F10" s="366">
        <f>E10+1</f>
        <v>2020</v>
      </c>
      <c r="G10" s="366">
        <f>F10+1</f>
        <v>2021</v>
      </c>
      <c r="H10" s="38"/>
      <c r="I10" s="38"/>
      <c r="J10" s="38"/>
    </row>
    <row r="11" spans="1:7" ht="12.75">
      <c r="A11" s="367" t="s">
        <v>129</v>
      </c>
      <c r="B11" s="368">
        <v>0.0629</v>
      </c>
      <c r="C11" s="369">
        <v>0.0392</v>
      </c>
      <c r="D11" s="369">
        <v>0.0411</v>
      </c>
      <c r="E11" s="376">
        <v>0.0414</v>
      </c>
      <c r="F11" s="376">
        <v>0.0403</v>
      </c>
      <c r="G11" s="376">
        <v>0.039</v>
      </c>
    </row>
    <row r="12" spans="1:7" ht="12.75">
      <c r="A12" s="367" t="s">
        <v>130</v>
      </c>
      <c r="B12" s="368">
        <v>-0.036</v>
      </c>
      <c r="C12" s="369">
        <v>0.0053</v>
      </c>
      <c r="D12" s="369">
        <v>0.0136</v>
      </c>
      <c r="E12" s="376">
        <v>0.0249</v>
      </c>
      <c r="F12" s="376">
        <v>0.0259</v>
      </c>
      <c r="G12" s="376">
        <v>0.0261</v>
      </c>
    </row>
    <row r="13" spans="1:7" ht="12.75">
      <c r="A13" s="370" t="s">
        <v>131</v>
      </c>
      <c r="B13" s="371">
        <f>IF(Projeções!C114=0,"-",((Projeções!D114/Projeções!C114)-1)-B11-B18)</f>
        <v>0.0938695761808463</v>
      </c>
      <c r="C13" s="371">
        <f>IF(Projeções!D114=0,"-",((Projeções!E114/Projeções!D114)-1)-C11-C18)</f>
        <v>0.053162579738698645</v>
      </c>
      <c r="D13" s="371">
        <f>IF(Projeções!E114=0,"-",((Projeções!F114/Projeções!E114)-1)-D11-D18)</f>
        <v>-0.016979371448535646</v>
      </c>
      <c r="E13" s="369">
        <f aca="true" t="shared" si="0" ref="E13:G20">(B13+C13+D13)/3</f>
        <v>0.043350928157003095</v>
      </c>
      <c r="F13" s="369">
        <f t="shared" si="0"/>
        <v>0.02651137881572203</v>
      </c>
      <c r="G13" s="369">
        <f t="shared" si="0"/>
        <v>0.017627645174729825</v>
      </c>
    </row>
    <row r="14" spans="1:7" ht="12.75">
      <c r="A14" s="372" t="s">
        <v>132</v>
      </c>
      <c r="B14" s="371">
        <f>IF(Projeções!C124=0,"-",((Projeções!D124/Projeções!C124)-1)-B11-B12)</f>
        <v>0.09964727415798694</v>
      </c>
      <c r="C14" s="371">
        <f>IF(Projeções!D124=0,"-",((Projeções!E124/Projeções!D124)-1)-C11-C12)</f>
        <v>-0.09263650138829206</v>
      </c>
      <c r="D14" s="371">
        <f>IF(Projeções!E124=0,"-",((Projeções!F124/Projeções!E124)-1)-D11-D12)</f>
        <v>-0.02829591617616914</v>
      </c>
      <c r="E14" s="369">
        <f t="shared" si="0"/>
        <v>-0.0070950478021580875</v>
      </c>
      <c r="F14" s="369">
        <f t="shared" si="0"/>
        <v>-0.0426758217888731</v>
      </c>
      <c r="G14" s="369">
        <f t="shared" si="0"/>
        <v>-0.02602226192240011</v>
      </c>
    </row>
    <row r="15" spans="1:7" ht="12.75">
      <c r="A15" s="372" t="s">
        <v>133</v>
      </c>
      <c r="B15" s="371">
        <f>IF(Projeções!C9=0,"-",((Projeções!D9/Projeções!C9)-1)-B11-B12)</f>
        <v>0.19433612371015277</v>
      </c>
      <c r="C15" s="371">
        <f>IF(Projeções!D9=0,"-",((Projeções!E9/Projeções!D9)-1)-C11-C12)</f>
        <v>0.07388623194787923</v>
      </c>
      <c r="D15" s="371">
        <f>IF(Projeções!E9=0,"-",((Projeções!F9/Projeções!E9)-1)-D11-D12)</f>
        <v>-0.11337681885794973</v>
      </c>
      <c r="E15" s="369">
        <f t="shared" si="0"/>
        <v>0.051615178933360754</v>
      </c>
      <c r="F15" s="369">
        <f t="shared" si="0"/>
        <v>0.004041530674430085</v>
      </c>
      <c r="G15" s="369">
        <f t="shared" si="0"/>
        <v>-0.01924003641671963</v>
      </c>
    </row>
    <row r="16" spans="1:7" ht="12.75">
      <c r="A16" s="372" t="s">
        <v>367</v>
      </c>
      <c r="B16" s="371">
        <f>IF(Projeções!C40=0,"-",((Projeções!D40/Projeções!C40)-1)-B11-B12)</f>
        <v>0.16400833328838274</v>
      </c>
      <c r="C16" s="371">
        <f>IF(Projeções!D40=0,"-",((Projeções!E40/Projeções!D40)-1)-C11-C12)</f>
        <v>-0.08816420676153049</v>
      </c>
      <c r="D16" s="371">
        <f>IF(Projeções!E40=0,"-",((Projeções!F40/Projeções!E40)-1)-D11-D12)</f>
        <v>-0.003901602812002051</v>
      </c>
      <c r="E16" s="369">
        <f t="shared" si="0"/>
        <v>0.0239808412382834</v>
      </c>
      <c r="F16" s="369">
        <f t="shared" si="0"/>
        <v>-0.02269498944508305</v>
      </c>
      <c r="G16" s="369">
        <f t="shared" si="0"/>
        <v>-0.0008719170062672331</v>
      </c>
    </row>
    <row r="17" spans="1:7" ht="12.75">
      <c r="A17" s="372" t="s">
        <v>368</v>
      </c>
      <c r="B17" s="371">
        <f>IF(Projeções!C51=0,"-",((Projeções!D51/Projeções!C51)-1)-B11-B12)</f>
        <v>0.040978168012432294</v>
      </c>
      <c r="C17" s="371">
        <f>IF(Projeções!D51=0,"-",((Projeções!E51/Projeções!D51)-1)-C11-C12)</f>
        <v>0.018302180698050105</v>
      </c>
      <c r="D17" s="371">
        <f>IF(Projeções!E51=0,"-",((Projeções!F51/Projeções!E51)-1)-D11-D12)</f>
        <v>0.027993727957658282</v>
      </c>
      <c r="E17" s="369">
        <f t="shared" si="0"/>
        <v>0.02909135888938023</v>
      </c>
      <c r="F17" s="369">
        <f t="shared" si="0"/>
        <v>0.025129089181696207</v>
      </c>
      <c r="G17" s="369">
        <f t="shared" si="0"/>
        <v>0.027404725342911575</v>
      </c>
    </row>
    <row r="18" spans="1:7" ht="12.75">
      <c r="A18" s="367" t="s">
        <v>369</v>
      </c>
      <c r="B18" s="377">
        <v>0</v>
      </c>
      <c r="C18" s="377">
        <v>0.0263</v>
      </c>
      <c r="D18" s="377">
        <v>0</v>
      </c>
      <c r="E18" s="376">
        <v>0</v>
      </c>
      <c r="F18" s="376">
        <v>0</v>
      </c>
      <c r="G18" s="376">
        <v>0</v>
      </c>
    </row>
    <row r="19" spans="1:7" ht="12.75">
      <c r="A19" s="367" t="s">
        <v>370</v>
      </c>
      <c r="B19" s="377">
        <v>0</v>
      </c>
      <c r="C19" s="377">
        <v>0</v>
      </c>
      <c r="D19" s="377">
        <v>0</v>
      </c>
      <c r="E19" s="377">
        <v>0</v>
      </c>
      <c r="F19" s="377">
        <v>0</v>
      </c>
      <c r="G19" s="377">
        <v>0</v>
      </c>
    </row>
    <row r="20" spans="1:7" ht="12.75">
      <c r="A20" s="373" t="s">
        <v>140</v>
      </c>
      <c r="B20" s="371">
        <f>IF(Projeções!C130=0,"-",((Projeções!D130/Projeções!C130)-1)-B11-B12)</f>
        <v>0.002347804881173733</v>
      </c>
      <c r="C20" s="371">
        <f>IF(Projeções!D130=0,"-",((Projeções!E130/Projeções!D130)-1)-C11-C12)</f>
        <v>-0.46932521666399324</v>
      </c>
      <c r="D20" s="371">
        <f>IF(Projeções!E130=0,"-",((Projeções!F130/Projeções!E130)-1)-D11-D12)</f>
        <v>0.10392830625647417</v>
      </c>
      <c r="E20" s="369">
        <f t="shared" si="0"/>
        <v>-0.12101636850878177</v>
      </c>
      <c r="F20" s="369">
        <f t="shared" si="0"/>
        <v>-0.16213775963876695</v>
      </c>
      <c r="G20" s="369">
        <f t="shared" si="0"/>
        <v>-0.05974194063035818</v>
      </c>
    </row>
    <row r="21" spans="1:7" ht="12.75">
      <c r="A21" s="373" t="s">
        <v>196</v>
      </c>
      <c r="B21" s="371">
        <v>0.1375</v>
      </c>
      <c r="C21" s="371">
        <v>0.1018</v>
      </c>
      <c r="D21" s="369">
        <v>0.0655</v>
      </c>
      <c r="E21" s="376">
        <v>0.0742</v>
      </c>
      <c r="F21" s="376">
        <v>0.0819</v>
      </c>
      <c r="G21" s="376">
        <v>0.0827</v>
      </c>
    </row>
    <row r="22" spans="1:7" ht="12.75">
      <c r="A22" s="373" t="s">
        <v>508</v>
      </c>
      <c r="B22" s="374">
        <v>3.35</v>
      </c>
      <c r="C22" s="374">
        <v>3.29</v>
      </c>
      <c r="D22" s="375">
        <v>3.46</v>
      </c>
      <c r="E22" s="365">
        <v>3.43</v>
      </c>
      <c r="F22" s="365">
        <v>3.5</v>
      </c>
      <c r="G22" s="365">
        <v>3.55</v>
      </c>
    </row>
    <row r="23" spans="1:7" ht="14.25">
      <c r="A23" s="47"/>
      <c r="B23" s="47"/>
      <c r="C23" s="13"/>
      <c r="D23" s="13"/>
      <c r="E23" s="13"/>
      <c r="F23" s="13"/>
      <c r="G23" s="13"/>
    </row>
    <row r="24" spans="1:7" ht="12">
      <c r="A24" s="441"/>
      <c r="B24" s="442"/>
      <c r="C24" s="442"/>
      <c r="D24" s="442"/>
      <c r="E24" s="442"/>
      <c r="F24" s="442"/>
      <c r="G24" s="442"/>
    </row>
    <row r="25" spans="1:8" ht="12">
      <c r="A25" s="442"/>
      <c r="B25" s="442"/>
      <c r="C25" s="442"/>
      <c r="D25" s="442"/>
      <c r="E25" s="442"/>
      <c r="F25" s="442"/>
      <c r="G25" s="442"/>
      <c r="H25" s="41"/>
    </row>
    <row r="26" spans="1:8" ht="12">
      <c r="A26" s="442"/>
      <c r="B26" s="442"/>
      <c r="C26" s="442"/>
      <c r="D26" s="442"/>
      <c r="E26" s="442"/>
      <c r="F26" s="442"/>
      <c r="G26" s="442"/>
      <c r="H26" s="41"/>
    </row>
  </sheetData>
  <sheetProtection/>
  <mergeCells count="4">
    <mergeCell ref="A24:G26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300" verticalDpi="300" orientation="landscape" paperSize="9" scale="70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3"/>
  <dimension ref="A1:L31"/>
  <sheetViews>
    <sheetView zoomScaleSheetLayoutView="100" zoomScalePageLayoutView="0" workbookViewId="0" topLeftCell="A13">
      <selection activeCell="E16" sqref="E16"/>
    </sheetView>
  </sheetViews>
  <sheetFormatPr defaultColWidth="9.140625" defaultRowHeight="12.75"/>
  <cols>
    <col min="1" max="1" width="25.28125" style="11" customWidth="1"/>
    <col min="2" max="2" width="14.28125" style="11" customWidth="1"/>
    <col min="3" max="3" width="13.57421875" style="11" customWidth="1"/>
    <col min="4" max="4" width="10.28125" style="11" customWidth="1"/>
    <col min="5" max="5" width="15.140625" style="11" customWidth="1"/>
    <col min="6" max="6" width="10.28125" style="11" customWidth="1"/>
    <col min="7" max="7" width="14.140625" style="11" customWidth="1"/>
    <col min="8" max="8" width="11.00390625" style="11" customWidth="1"/>
    <col min="9" max="9" width="15.140625" style="11" customWidth="1"/>
    <col min="10" max="10" width="10.7109375" style="11" customWidth="1"/>
    <col min="11" max="11" width="16.28125" style="11" customWidth="1"/>
    <col min="12" max="12" width="10.28125" style="11" customWidth="1"/>
    <col min="13" max="16384" width="9.140625" style="11" customWidth="1"/>
  </cols>
  <sheetData>
    <row r="1" spans="1:12" ht="12.75" customHeight="1">
      <c r="A1" s="486" t="str">
        <f>Parâmetros!A7</f>
        <v>Município de :Ivoti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8"/>
    </row>
    <row r="2" spans="1:12" ht="12.75">
      <c r="A2" s="489" t="s">
        <v>36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8"/>
    </row>
    <row r="3" spans="1:12" ht="12.75">
      <c r="A3" s="489" t="str">
        <f>'Metas Cons'!A3:M3</f>
        <v>ANEXO DE METAS FISCAIS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8"/>
    </row>
    <row r="4" spans="1:12" ht="12.75">
      <c r="A4" s="490" t="s">
        <v>123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2"/>
    </row>
    <row r="5" spans="1:12" ht="12.75">
      <c r="A5" s="489" t="s">
        <v>569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8"/>
    </row>
    <row r="6" spans="1:12" ht="12.75">
      <c r="A6" s="489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8"/>
    </row>
    <row r="7" spans="1:12" ht="12.75">
      <c r="A7" s="555" t="s">
        <v>469</v>
      </c>
      <c r="B7" s="556"/>
      <c r="C7" s="56"/>
      <c r="D7" s="56"/>
      <c r="E7" s="56"/>
      <c r="F7" s="56"/>
      <c r="G7" s="56"/>
      <c r="H7" s="56"/>
      <c r="I7" s="56"/>
      <c r="J7" s="56"/>
      <c r="K7" s="56"/>
      <c r="L7" s="57">
        <v>1</v>
      </c>
    </row>
    <row r="8" spans="1:12" ht="15.75" customHeight="1">
      <c r="A8" s="53" t="s">
        <v>56</v>
      </c>
      <c r="B8" s="552" t="s">
        <v>79</v>
      </c>
      <c r="C8" s="551"/>
      <c r="D8" s="551"/>
      <c r="E8" s="551"/>
      <c r="F8" s="551"/>
      <c r="G8" s="551"/>
      <c r="H8" s="551"/>
      <c r="I8" s="551"/>
      <c r="J8" s="551"/>
      <c r="K8" s="551"/>
      <c r="L8" s="551"/>
    </row>
    <row r="9" spans="1:12" s="12" customFormat="1" ht="15.75" customHeight="1">
      <c r="A9" s="553"/>
      <c r="B9" s="499">
        <f>Parâmetros!B10</f>
        <v>2016</v>
      </c>
      <c r="C9" s="499">
        <f>B9+1</f>
        <v>2017</v>
      </c>
      <c r="D9" s="499" t="s">
        <v>117</v>
      </c>
      <c r="E9" s="499">
        <f>C9+1</f>
        <v>2018</v>
      </c>
      <c r="F9" s="499" t="s">
        <v>117</v>
      </c>
      <c r="G9" s="502">
        <f>E9+1</f>
        <v>2019</v>
      </c>
      <c r="H9" s="502" t="s">
        <v>117</v>
      </c>
      <c r="I9" s="502">
        <f>G9+1</f>
        <v>2020</v>
      </c>
      <c r="J9" s="502" t="s">
        <v>118</v>
      </c>
      <c r="K9" s="502">
        <f>I9+1</f>
        <v>2021</v>
      </c>
      <c r="L9" s="545" t="s">
        <v>117</v>
      </c>
    </row>
    <row r="10" spans="1:12" s="12" customFormat="1" ht="15.75" customHeight="1">
      <c r="A10" s="554"/>
      <c r="B10" s="501"/>
      <c r="C10" s="501"/>
      <c r="D10" s="501"/>
      <c r="E10" s="501"/>
      <c r="F10" s="501"/>
      <c r="G10" s="504"/>
      <c r="H10" s="504"/>
      <c r="I10" s="504"/>
      <c r="J10" s="504"/>
      <c r="K10" s="504"/>
      <c r="L10" s="547"/>
    </row>
    <row r="11" spans="1:12" ht="12.75">
      <c r="A11" s="338" t="s">
        <v>80</v>
      </c>
      <c r="B11" s="102">
        <v>72109300</v>
      </c>
      <c r="C11" s="383">
        <f>' Avaliação'!B11</f>
        <v>80643063</v>
      </c>
      <c r="D11" s="390">
        <f aca="true" t="shared" si="0" ref="D11:D18">IF(B11=0,"0",(C11/B11)-1)</f>
        <v>0.11834483208129876</v>
      </c>
      <c r="E11" s="102">
        <v>86063056.57</v>
      </c>
      <c r="F11" s="390">
        <f aca="true" t="shared" si="1" ref="F11:F18">IF(C11=0,"0",(E11/C11)-1)</f>
        <v>0.06720966898293534</v>
      </c>
      <c r="G11" s="391">
        <f>'Metas Cons'!B11</f>
        <v>86135423.06704876</v>
      </c>
      <c r="H11" s="392">
        <f>IF(E11=0,"0",(G11/E11)-1)</f>
        <v>0.0008408543680982206</v>
      </c>
      <c r="I11" s="391">
        <f>'Metas Cons'!F11</f>
        <v>89846098.21015638</v>
      </c>
      <c r="J11" s="390">
        <f>IF(G11=0,"-",(I11/G11)-1)</f>
        <v>0.043079548587335426</v>
      </c>
      <c r="K11" s="391">
        <f>'Metas Cons'!J11</f>
        <v>93954330.96104243</v>
      </c>
      <c r="L11" s="390">
        <f>IF(I11=0,"-",(K11/I11)-1)</f>
        <v>0.045725221603687194</v>
      </c>
    </row>
    <row r="12" spans="1:12" ht="12.75">
      <c r="A12" s="338" t="s">
        <v>124</v>
      </c>
      <c r="B12" s="102">
        <v>67158500</v>
      </c>
      <c r="C12" s="383">
        <f>' Avaliação'!B12</f>
        <v>73255369</v>
      </c>
      <c r="D12" s="390">
        <f t="shared" si="0"/>
        <v>0.09078328134190006</v>
      </c>
      <c r="E12" s="102">
        <v>80309570.18</v>
      </c>
      <c r="F12" s="390">
        <f t="shared" si="1"/>
        <v>0.0962960295783919</v>
      </c>
      <c r="G12" s="391">
        <f>'Metas Cons'!B12</f>
        <v>80287454.2028492</v>
      </c>
      <c r="H12" s="392">
        <f aca="true" t="shared" si="2" ref="H12:H18">IF(E12=0,"0",(G12/E12)-1)</f>
        <v>-0.00027538408064253783</v>
      </c>
      <c r="I12" s="391">
        <f>'Metas Cons'!F12</f>
        <v>83605462.96334065</v>
      </c>
      <c r="J12" s="390">
        <f aca="true" t="shared" si="3" ref="J12:J18">IF(G12=0,"-",(I12/G12)-1)</f>
        <v>0.041326615639205366</v>
      </c>
      <c r="K12" s="391">
        <f>'Metas Cons'!J12</f>
        <v>87301678.05623351</v>
      </c>
      <c r="L12" s="390">
        <f aca="true" t="shared" si="4" ref="L12:L18">IF(I12=0,"-",(K12/I12)-1)</f>
        <v>0.044210210216927726</v>
      </c>
    </row>
    <row r="13" spans="1:12" ht="12.75">
      <c r="A13" s="338" t="s">
        <v>81</v>
      </c>
      <c r="B13" s="102">
        <v>72109300</v>
      </c>
      <c r="C13" s="383">
        <f>' Avaliação'!B13</f>
        <v>80643063</v>
      </c>
      <c r="D13" s="390">
        <f t="shared" si="0"/>
        <v>0.11834483208129876</v>
      </c>
      <c r="E13" s="102">
        <v>86063056.57</v>
      </c>
      <c r="F13" s="390">
        <f t="shared" si="1"/>
        <v>0.06720966898293534</v>
      </c>
      <c r="G13" s="391">
        <f>'Metas Cons'!B13</f>
        <v>71200763.05234274</v>
      </c>
      <c r="H13" s="392">
        <f t="shared" si="2"/>
        <v>-0.17269074687777208</v>
      </c>
      <c r="I13" s="391">
        <f>'Metas Cons'!F13</f>
        <v>73113414.53695479</v>
      </c>
      <c r="J13" s="390">
        <f t="shared" si="3"/>
        <v>0.026862794759741293</v>
      </c>
      <c r="K13" s="391">
        <f>'Metas Cons'!J13</f>
        <v>75162516.56529751</v>
      </c>
      <c r="L13" s="390">
        <f t="shared" si="4"/>
        <v>0.028026348397488965</v>
      </c>
    </row>
    <row r="14" spans="1:12" ht="12.75">
      <c r="A14" s="338" t="s">
        <v>120</v>
      </c>
      <c r="B14" s="102">
        <v>66495600</v>
      </c>
      <c r="C14" s="383">
        <f>' Avaliação'!B14</f>
        <v>80524234</v>
      </c>
      <c r="D14" s="390">
        <f t="shared" si="0"/>
        <v>0.21097086122991593</v>
      </c>
      <c r="E14" s="102">
        <v>85413056.57</v>
      </c>
      <c r="F14" s="390">
        <f t="shared" si="1"/>
        <v>0.06071243807174853</v>
      </c>
      <c r="G14" s="391">
        <f>'Metas Cons'!B14</f>
        <v>70679266.74548368</v>
      </c>
      <c r="H14" s="392">
        <f t="shared" si="2"/>
        <v>-0.17250043981790164</v>
      </c>
      <c r="I14" s="391">
        <f>'Metas Cons'!F14</f>
        <v>72616934.36061598</v>
      </c>
      <c r="J14" s="390">
        <f t="shared" si="3"/>
        <v>0.027414936576943383</v>
      </c>
      <c r="K14" s="391">
        <f>'Metas Cons'!J14</f>
        <v>75162516.56529751</v>
      </c>
      <c r="L14" s="390">
        <f t="shared" si="4"/>
        <v>0.035054939004174335</v>
      </c>
    </row>
    <row r="15" spans="1:12" ht="12.75">
      <c r="A15" s="338" t="s">
        <v>82</v>
      </c>
      <c r="B15" s="383">
        <f>B12-B14</f>
        <v>662900</v>
      </c>
      <c r="C15" s="383">
        <f>' Avaliação'!B15</f>
        <v>-7268865</v>
      </c>
      <c r="D15" s="390">
        <f t="shared" si="0"/>
        <v>-11.965251169105446</v>
      </c>
      <c r="E15" s="383">
        <f>E12-E14</f>
        <v>-5103486.389999986</v>
      </c>
      <c r="F15" s="390">
        <f t="shared" si="1"/>
        <v>-0.2978977612048118</v>
      </c>
      <c r="G15" s="391">
        <f>G12-G14</f>
        <v>9608187.457365513</v>
      </c>
      <c r="H15" s="392">
        <f t="shared" si="2"/>
        <v>-2.882671319784893</v>
      </c>
      <c r="I15" s="391">
        <f>I12-I14</f>
        <v>10988528.602724671</v>
      </c>
      <c r="J15" s="390">
        <f t="shared" si="3"/>
        <v>0.14366301151847405</v>
      </c>
      <c r="K15" s="391">
        <f>K12-K14</f>
        <v>12139161.490935996</v>
      </c>
      <c r="L15" s="390">
        <f t="shared" si="4"/>
        <v>0.1047121893941303</v>
      </c>
    </row>
    <row r="16" spans="1:12" ht="12.75">
      <c r="A16" s="338" t="s">
        <v>83</v>
      </c>
      <c r="B16" s="103">
        <v>-1711241</v>
      </c>
      <c r="C16" s="383">
        <f>' Avaliação'!B16</f>
        <v>-189187.83</v>
      </c>
      <c r="D16" s="390">
        <f t="shared" si="0"/>
        <v>-0.8894440759659218</v>
      </c>
      <c r="E16" s="103">
        <v>0</v>
      </c>
      <c r="F16" s="390">
        <f t="shared" si="1"/>
        <v>-1</v>
      </c>
      <c r="G16" s="391">
        <f>'Metas Cons'!B16</f>
        <v>14822001.250180846</v>
      </c>
      <c r="H16" s="392" t="str">
        <f t="shared" si="2"/>
        <v>0</v>
      </c>
      <c r="I16" s="391">
        <f>'Metas Cons'!F16</f>
        <v>16049601.814369306</v>
      </c>
      <c r="J16" s="390">
        <f t="shared" si="3"/>
        <v>0.0828228620054583</v>
      </c>
      <c r="K16" s="391">
        <f>'Metas Cons'!J16</f>
        <v>16929903.1387946</v>
      </c>
      <c r="L16" s="390">
        <f t="shared" si="4"/>
        <v>0.054848795291429386</v>
      </c>
    </row>
    <row r="17" spans="1:12" ht="12.75">
      <c r="A17" s="338" t="s">
        <v>84</v>
      </c>
      <c r="B17" s="384">
        <f>Dívida!B7</f>
        <v>914122.87</v>
      </c>
      <c r="C17" s="383">
        <f>' Avaliação'!B17</f>
        <v>1527714.89</v>
      </c>
      <c r="D17" s="390">
        <f t="shared" si="0"/>
        <v>0.6712358263173088</v>
      </c>
      <c r="E17" s="384">
        <f>Dívida!D7</f>
        <v>842225.66</v>
      </c>
      <c r="F17" s="390">
        <f t="shared" si="1"/>
        <v>-0.4487023295295629</v>
      </c>
      <c r="G17" s="391">
        <f>'Metas Cons'!B17</f>
        <v>1046960.93</v>
      </c>
      <c r="H17" s="392">
        <f t="shared" si="2"/>
        <v>0.24308837847566878</v>
      </c>
      <c r="I17" s="391">
        <f>'Metas Cons'!F17</f>
        <v>1091240.2833333334</v>
      </c>
      <c r="J17" s="390">
        <f t="shared" si="3"/>
        <v>0.04229322419255266</v>
      </c>
      <c r="K17" s="391">
        <f>'Metas Cons'!J17</f>
        <v>993475.6244444445</v>
      </c>
      <c r="L17" s="390">
        <f t="shared" si="4"/>
        <v>-0.08959040495669224</v>
      </c>
    </row>
    <row r="18" spans="1:12" ht="12.75">
      <c r="A18" s="339" t="s">
        <v>78</v>
      </c>
      <c r="B18" s="385">
        <f>Dívida!B15</f>
        <v>-1630709.96</v>
      </c>
      <c r="C18" s="383">
        <f>' Avaliação'!B18</f>
        <v>-189187.83</v>
      </c>
      <c r="D18" s="390">
        <f t="shared" si="0"/>
        <v>-0.8839843781907115</v>
      </c>
      <c r="E18" s="385">
        <f>Dívida!D15</f>
        <v>-4389002.044999999</v>
      </c>
      <c r="F18" s="390">
        <f t="shared" si="1"/>
        <v>22.199177478805055</v>
      </c>
      <c r="G18" s="391">
        <f>'Metas Cons'!B18</f>
        <v>-3592213.0116666653</v>
      </c>
      <c r="H18" s="392">
        <f t="shared" si="2"/>
        <v>-0.18154218776020958</v>
      </c>
      <c r="I18" s="391">
        <f>'Metas Cons'!F18</f>
        <v>-4246047.362222221</v>
      </c>
      <c r="J18" s="390">
        <f t="shared" si="3"/>
        <v>0.18201435951377465</v>
      </c>
      <c r="K18" s="391">
        <f>'Metas Cons'!J18</f>
        <v>-4075754.1396296285</v>
      </c>
      <c r="L18" s="390">
        <f t="shared" si="4"/>
        <v>-0.040106293704521234</v>
      </c>
    </row>
    <row r="19" spans="1:12" ht="12.75">
      <c r="A19" s="551"/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</row>
    <row r="20" spans="1:12" ht="15.75" customHeight="1">
      <c r="A20" s="329" t="s">
        <v>56</v>
      </c>
      <c r="B20" s="552" t="s">
        <v>85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</row>
    <row r="21" spans="1:12" s="12" customFormat="1" ht="15.75" customHeight="1">
      <c r="A21" s="553"/>
      <c r="B21" s="499">
        <f>Parâmetros!B10</f>
        <v>2016</v>
      </c>
      <c r="C21" s="499">
        <f>B21+1</f>
        <v>2017</v>
      </c>
      <c r="D21" s="499" t="s">
        <v>117</v>
      </c>
      <c r="E21" s="499">
        <f>C21+1</f>
        <v>2018</v>
      </c>
      <c r="F21" s="502" t="s">
        <v>117</v>
      </c>
      <c r="G21" s="502">
        <f>E21+1</f>
        <v>2019</v>
      </c>
      <c r="H21" s="502" t="s">
        <v>117</v>
      </c>
      <c r="I21" s="502">
        <f>G21+1</f>
        <v>2020</v>
      </c>
      <c r="J21" s="502" t="s">
        <v>117</v>
      </c>
      <c r="K21" s="502">
        <f>I21+1</f>
        <v>2021</v>
      </c>
      <c r="L21" s="545" t="s">
        <v>117</v>
      </c>
    </row>
    <row r="22" spans="1:12" s="12" customFormat="1" ht="15.75" customHeight="1">
      <c r="A22" s="554"/>
      <c r="B22" s="501"/>
      <c r="C22" s="501"/>
      <c r="D22" s="501"/>
      <c r="E22" s="501"/>
      <c r="F22" s="504"/>
      <c r="G22" s="504"/>
      <c r="H22" s="504"/>
      <c r="I22" s="504"/>
      <c r="J22" s="504"/>
      <c r="K22" s="504"/>
      <c r="L22" s="547"/>
    </row>
    <row r="23" spans="1:12" ht="12.75">
      <c r="A23" s="338" t="s">
        <v>80</v>
      </c>
      <c r="B23" s="391">
        <f>B11*((1+Parâmetros!C11)*(1+Parâmetros!D11))</f>
        <v>78015853.52541599</v>
      </c>
      <c r="C23" s="383">
        <f>C11*(1+Parâmetros!D11)</f>
        <v>83957492.88929999</v>
      </c>
      <c r="D23" s="390">
        <f>IF(B23=0,"-",(C23/B23)-1)</f>
        <v>0.07615938421987956</v>
      </c>
      <c r="E23" s="383">
        <f>E11</f>
        <v>86063056.57</v>
      </c>
      <c r="F23" s="390">
        <f>IF(C23=0,"-",(E23/C23)-1)</f>
        <v>0.02507892515890431</v>
      </c>
      <c r="G23" s="391">
        <f>'Metas Cons'!C11</f>
        <v>82711180.20649967</v>
      </c>
      <c r="H23" s="390">
        <f>IF(E23=0,"-",(G23/E23)-1)</f>
        <v>-0.03894675017467053</v>
      </c>
      <c r="I23" s="391">
        <f>'Metas Cons'!G11</f>
        <v>82932173.90456735</v>
      </c>
      <c r="J23" s="390">
        <f>IF(G23=0,"-",(I23/G23)-1)</f>
        <v>0.0026718721400895706</v>
      </c>
      <c r="K23" s="391">
        <f>'Metas Cons'!K11</f>
        <v>83468975.87529282</v>
      </c>
      <c r="L23" s="390">
        <f>IF(I23=0,"-",(K23/I23)-1)</f>
        <v>0.0064727830641844175</v>
      </c>
    </row>
    <row r="24" spans="1:12" ht="12.75">
      <c r="A24" s="338" t="s">
        <v>124</v>
      </c>
      <c r="B24" s="391">
        <f>B12*((1+Parâmetros!C11)*(1+Parâmetros!D11))</f>
        <v>72659527.95251998</v>
      </c>
      <c r="C24" s="383">
        <f>C12*(1+Parâmetros!D11)</f>
        <v>76266164.66589999</v>
      </c>
      <c r="D24" s="390">
        <f aca="true" t="shared" si="5" ref="D24:D30">IF(B24=0,"-",(C24/B24)-1)</f>
        <v>0.04963749166849518</v>
      </c>
      <c r="E24" s="383">
        <f>E12</f>
        <v>80309570.18</v>
      </c>
      <c r="F24" s="390">
        <f>IF(C24=0,"-",(E24/C24)-1)</f>
        <v>0.053017029659391035</v>
      </c>
      <c r="G24" s="393">
        <f>'Metas Cons'!C12</f>
        <v>77095692.53202341</v>
      </c>
      <c r="H24" s="390">
        <f aca="true" t="shared" si="6" ref="H24:H30">IF(E24=0,"-",(G24/E24)-1)</f>
        <v>-0.04001861348246838</v>
      </c>
      <c r="I24" s="393">
        <f>'Metas Cons'!G12</f>
        <v>77171774.0889481</v>
      </c>
      <c r="J24" s="390">
        <f aca="true" t="shared" si="7" ref="J24:J30">IF(G24=0,"-",(I24/G24)-1)</f>
        <v>0.0009868457552681953</v>
      </c>
      <c r="K24" s="393">
        <f>'Metas Cons'!K12</f>
        <v>77558762.69897377</v>
      </c>
      <c r="L24" s="390">
        <f aca="true" t="shared" si="8" ref="L24:L30">IF(I24=0,"-",(K24/I24)-1)</f>
        <v>0.005014639284819822</v>
      </c>
    </row>
    <row r="25" spans="1:12" ht="12.75">
      <c r="A25" s="338" t="s">
        <v>81</v>
      </c>
      <c r="B25" s="391">
        <f>B13*((1+Parâmetros!C11)*(1+Parâmetros!D11))</f>
        <v>78015853.52541599</v>
      </c>
      <c r="C25" s="383">
        <f>C13*(1+Parâmetros!D11)</f>
        <v>83957492.88929999</v>
      </c>
      <c r="D25" s="390">
        <f t="shared" si="5"/>
        <v>0.07615938421987956</v>
      </c>
      <c r="E25" s="383">
        <f>E13</f>
        <v>86063056.57</v>
      </c>
      <c r="F25" s="390">
        <f aca="true" t="shared" si="9" ref="F25:F30">IF(C25=0,"-",(E25/C25)-1)</f>
        <v>0.02507892515890431</v>
      </c>
      <c r="G25" s="393">
        <f>'Metas Cons'!C13</f>
        <v>68370235.3104885</v>
      </c>
      <c r="H25" s="390">
        <f t="shared" si="6"/>
        <v>-0.20557974541748825</v>
      </c>
      <c r="I25" s="393">
        <f>'Metas Cons'!G13</f>
        <v>67487119.97434333</v>
      </c>
      <c r="J25" s="390">
        <f t="shared" si="7"/>
        <v>-0.012916663693414265</v>
      </c>
      <c r="K25" s="393">
        <f>'Metas Cons'!K13</f>
        <v>66774338.31673476</v>
      </c>
      <c r="L25" s="390">
        <f t="shared" si="8"/>
        <v>-0.01056174360203177</v>
      </c>
    </row>
    <row r="26" spans="1:12" ht="12.75">
      <c r="A26" s="338" t="s">
        <v>120</v>
      </c>
      <c r="B26" s="391">
        <f>B14*((1+Parâmetros!C11)*(1+Parâmetros!D11))</f>
        <v>71942329.07107198</v>
      </c>
      <c r="C26" s="383">
        <f>C14*(1+Parâmetros!D11)</f>
        <v>83833780.0174</v>
      </c>
      <c r="D26" s="390">
        <f t="shared" si="5"/>
        <v>0.1652914369033065</v>
      </c>
      <c r="E26" s="383">
        <f>E14</f>
        <v>85413056.57</v>
      </c>
      <c r="F26" s="390">
        <f t="shared" si="9"/>
        <v>0.01883818852343544</v>
      </c>
      <c r="G26" s="393">
        <f>'Metas Cons'!C14</f>
        <v>67869470.66015333</v>
      </c>
      <c r="H26" s="390">
        <f t="shared" si="6"/>
        <v>-0.20539700385817328</v>
      </c>
      <c r="I26" s="393">
        <f>'Metas Cons'!G14</f>
        <v>67028845.423254974</v>
      </c>
      <c r="J26" s="390">
        <f t="shared" si="7"/>
        <v>-0.012385911201630906</v>
      </c>
      <c r="K26" s="393">
        <f>'Metas Cons'!K14</f>
        <v>66774338.31673476</v>
      </c>
      <c r="L26" s="390">
        <f t="shared" si="8"/>
        <v>-0.003796978821776209</v>
      </c>
    </row>
    <row r="27" spans="1:12" ht="12.75">
      <c r="A27" s="338" t="s">
        <v>82</v>
      </c>
      <c r="B27" s="391">
        <f>B24-B26</f>
        <v>717198.8814480007</v>
      </c>
      <c r="C27" s="393">
        <f>C24-C26</f>
        <v>-7567615.3515000045</v>
      </c>
      <c r="D27" s="390">
        <f t="shared" si="5"/>
        <v>-11.551627375967515</v>
      </c>
      <c r="E27" s="393">
        <f>E24-E26</f>
        <v>-5103486.389999986</v>
      </c>
      <c r="F27" s="390">
        <f t="shared" si="9"/>
        <v>-0.32561498530862765</v>
      </c>
      <c r="G27" s="393">
        <f>'Metas Cons'!C15</f>
        <v>9226221.87187009</v>
      </c>
      <c r="H27" s="390">
        <f t="shared" si="6"/>
        <v>-2.8078272707748155</v>
      </c>
      <c r="I27" s="393">
        <f>'Metas Cons'!G15</f>
        <v>10142928.665693125</v>
      </c>
      <c r="J27" s="390">
        <f t="shared" si="7"/>
        <v>0.09935884986876276</v>
      </c>
      <c r="K27" s="393">
        <f>'Metas Cons'!K15</f>
        <v>10784424.382239018</v>
      </c>
      <c r="L27" s="390">
        <f t="shared" si="8"/>
        <v>0.06324561058145384</v>
      </c>
    </row>
    <row r="28" spans="1:12" ht="12.75">
      <c r="A28" s="338" t="s">
        <v>83</v>
      </c>
      <c r="B28" s="391">
        <f>B16*((1+Parâmetros!C11)*(1+Parâmetros!D11))</f>
        <v>-1851410.6668999197</v>
      </c>
      <c r="C28" s="383">
        <f>C16*(1+Parâmetros!D11)</f>
        <v>-196963.44981299998</v>
      </c>
      <c r="D28" s="390">
        <f t="shared" si="5"/>
        <v>-0.8936143918070841</v>
      </c>
      <c r="E28" s="383">
        <f>E16</f>
        <v>0</v>
      </c>
      <c r="F28" s="390">
        <f t="shared" si="9"/>
        <v>-1</v>
      </c>
      <c r="G28" s="393">
        <f>'Metas Cons'!C16</f>
        <v>14232764.787959328</v>
      </c>
      <c r="H28" s="390" t="str">
        <f t="shared" si="6"/>
        <v>-</v>
      </c>
      <c r="I28" s="393">
        <f>'Metas Cons'!G16</f>
        <v>14814537.25074366</v>
      </c>
      <c r="J28" s="390">
        <f t="shared" si="7"/>
        <v>0.0408755762813211</v>
      </c>
      <c r="K28" s="393">
        <f>'Metas Cons'!K16</f>
        <v>15040516.623433067</v>
      </c>
      <c r="L28" s="390">
        <f t="shared" si="8"/>
        <v>0.015253893446996791</v>
      </c>
    </row>
    <row r="29" spans="1:12" ht="12.75">
      <c r="A29" s="338" t="s">
        <v>84</v>
      </c>
      <c r="B29" s="391">
        <f>B17*((1+Parâmetros!C11)*(1+Parâmetros!D11))</f>
        <v>988999.6980993142</v>
      </c>
      <c r="C29" s="383">
        <f>C17*(1+Parâmetros!D11)</f>
        <v>1590503.9719789997</v>
      </c>
      <c r="D29" s="390">
        <f t="shared" si="5"/>
        <v>0.6081945980728531</v>
      </c>
      <c r="E29" s="383">
        <f>E17</f>
        <v>842225.66</v>
      </c>
      <c r="F29" s="390">
        <f t="shared" si="9"/>
        <v>-0.47046616994483026</v>
      </c>
      <c r="G29" s="393">
        <f>'Metas Cons'!C17</f>
        <v>1005339.8598041098</v>
      </c>
      <c r="H29" s="390">
        <f t="shared" si="6"/>
        <v>0.1936704229649211</v>
      </c>
      <c r="I29" s="393">
        <f>'Metas Cons'!G17</f>
        <v>1007266.1000524025</v>
      </c>
      <c r="J29" s="390">
        <f t="shared" si="7"/>
        <v>0.0019160090286960418</v>
      </c>
      <c r="K29" s="393">
        <f>'Metas Cons'!K17</f>
        <v>882603.1975452934</v>
      </c>
      <c r="L29" s="390">
        <f t="shared" si="8"/>
        <v>-0.12376362363492976</v>
      </c>
    </row>
    <row r="30" spans="1:12" ht="12.75">
      <c r="A30" s="339" t="s">
        <v>78</v>
      </c>
      <c r="B30" s="391">
        <f>B18*((1+Parâmetros!C11)*(1+Parâmetros!D11))</f>
        <v>-1764283.2392187547</v>
      </c>
      <c r="C30" s="383">
        <f>C18*(1+Parâmetros!D11)</f>
        <v>-196963.44981299998</v>
      </c>
      <c r="D30" s="390">
        <f t="shared" si="5"/>
        <v>-0.8883606410611158</v>
      </c>
      <c r="E30" s="383">
        <f>E18</f>
        <v>-4389002.044999999</v>
      </c>
      <c r="F30" s="390">
        <f t="shared" si="9"/>
        <v>21.283332512539673</v>
      </c>
      <c r="G30" s="394">
        <f>'Metas Cons'!C18</f>
        <v>-3449407.539530118</v>
      </c>
      <c r="H30" s="390">
        <f t="shared" si="6"/>
        <v>-0.2140793045517666</v>
      </c>
      <c r="I30" s="391">
        <f>IF('Metas Cons'!G18=0,"0",('Metas Cons'!G18))</f>
        <v>-3919301.3972312575</v>
      </c>
      <c r="J30" s="390">
        <f t="shared" si="7"/>
        <v>0.13622451169256422</v>
      </c>
      <c r="K30" s="391">
        <f>IF('Metas Cons'!K18=0,"0",('Metas Cons'!K18))</f>
        <v>-3620897.7327019833</v>
      </c>
      <c r="L30" s="390">
        <f t="shared" si="8"/>
        <v>-0.07613695255488073</v>
      </c>
    </row>
    <row r="31" spans="1:12" ht="12.75">
      <c r="A31" s="512" t="s">
        <v>195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</row>
  </sheetData>
  <sheetProtection/>
  <mergeCells count="35">
    <mergeCell ref="A5:L5"/>
    <mergeCell ref="J9:J10"/>
    <mergeCell ref="K9:K10"/>
    <mergeCell ref="L9:L10"/>
    <mergeCell ref="A6:L6"/>
    <mergeCell ref="A9:A10"/>
    <mergeCell ref="B9:B10"/>
    <mergeCell ref="C9:C10"/>
    <mergeCell ref="A31:L31"/>
    <mergeCell ref="F21:F22"/>
    <mergeCell ref="I21:I22"/>
    <mergeCell ref="J21:J22"/>
    <mergeCell ref="K21:K22"/>
    <mergeCell ref="A7:B7"/>
    <mergeCell ref="E9:E10"/>
    <mergeCell ref="A1:L1"/>
    <mergeCell ref="A2:L2"/>
    <mergeCell ref="A3:L3"/>
    <mergeCell ref="A4:L4"/>
    <mergeCell ref="B8:L8"/>
    <mergeCell ref="L21:L22"/>
    <mergeCell ref="G21:G22"/>
    <mergeCell ref="H21:H22"/>
    <mergeCell ref="A21:A22"/>
    <mergeCell ref="B21:B22"/>
    <mergeCell ref="C21:C22"/>
    <mergeCell ref="D21:D22"/>
    <mergeCell ref="A19:L19"/>
    <mergeCell ref="B20:L20"/>
    <mergeCell ref="E21:E22"/>
    <mergeCell ref="F9:F10"/>
    <mergeCell ref="G9:G10"/>
    <mergeCell ref="H9:H10"/>
    <mergeCell ref="D9:D10"/>
    <mergeCell ref="I9:I10"/>
  </mergeCells>
  <printOptions/>
  <pageMargins left="0.787401575" right="0.787401575" top="0.984251969" bottom="0.984251969" header="0.492125985" footer="0.492125985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4"/>
  <dimension ref="A1:G28"/>
  <sheetViews>
    <sheetView zoomScaleSheetLayoutView="90" zoomScalePageLayoutView="0" workbookViewId="0" topLeftCell="A19">
      <selection activeCell="J30" sqref="J30"/>
    </sheetView>
  </sheetViews>
  <sheetFormatPr defaultColWidth="9.140625" defaultRowHeight="12.75"/>
  <cols>
    <col min="1" max="1" width="22.00390625" style="11" customWidth="1"/>
    <col min="2" max="2" width="17.57421875" style="11" customWidth="1"/>
    <col min="3" max="3" width="10.140625" style="11" customWidth="1"/>
    <col min="4" max="4" width="17.7109375" style="11" customWidth="1"/>
    <col min="5" max="5" width="10.421875" style="11" customWidth="1"/>
    <col min="6" max="6" width="18.00390625" style="11" customWidth="1"/>
    <col min="7" max="7" width="10.7109375" style="11" customWidth="1"/>
    <col min="8" max="16384" width="9.140625" style="11" customWidth="1"/>
  </cols>
  <sheetData>
    <row r="1" spans="1:7" ht="15.75">
      <c r="A1" s="567" t="str">
        <f>Parâmetros!A7</f>
        <v>Município de :Ivoti</v>
      </c>
      <c r="B1" s="561"/>
      <c r="C1" s="561"/>
      <c r="D1" s="561"/>
      <c r="E1" s="561"/>
      <c r="F1" s="561"/>
      <c r="G1" s="562"/>
    </row>
    <row r="2" spans="1:7" ht="15.75">
      <c r="A2" s="560" t="s">
        <v>36</v>
      </c>
      <c r="B2" s="561"/>
      <c r="C2" s="561"/>
      <c r="D2" s="561"/>
      <c r="E2" s="561"/>
      <c r="F2" s="561"/>
      <c r="G2" s="562"/>
    </row>
    <row r="3" spans="1:7" ht="15.75">
      <c r="A3" s="560" t="str">
        <f>'Metas Cons'!A3:M3</f>
        <v>ANEXO DE METAS FISCAIS</v>
      </c>
      <c r="B3" s="561"/>
      <c r="C3" s="561"/>
      <c r="D3" s="561"/>
      <c r="E3" s="561"/>
      <c r="F3" s="561"/>
      <c r="G3" s="562"/>
    </row>
    <row r="4" spans="1:7" ht="15.75">
      <c r="A4" s="557" t="s">
        <v>461</v>
      </c>
      <c r="B4" s="558"/>
      <c r="C4" s="558"/>
      <c r="D4" s="558"/>
      <c r="E4" s="558"/>
      <c r="F4" s="558"/>
      <c r="G4" s="559"/>
    </row>
    <row r="5" spans="1:7" ht="15.75">
      <c r="A5" s="560" t="s">
        <v>572</v>
      </c>
      <c r="B5" s="561"/>
      <c r="C5" s="561"/>
      <c r="D5" s="561"/>
      <c r="E5" s="561"/>
      <c r="F5" s="561"/>
      <c r="G5" s="562"/>
    </row>
    <row r="6" spans="1:7" ht="15.75">
      <c r="A6" s="560"/>
      <c r="B6" s="561"/>
      <c r="C6" s="561"/>
      <c r="D6" s="561"/>
      <c r="E6" s="561"/>
      <c r="F6" s="561"/>
      <c r="G6" s="562"/>
    </row>
    <row r="7" spans="1:7" ht="15.75">
      <c r="A7" s="569" t="s">
        <v>468</v>
      </c>
      <c r="B7" s="570"/>
      <c r="C7" s="340"/>
      <c r="D7" s="340"/>
      <c r="E7" s="340"/>
      <c r="F7" s="340"/>
      <c r="G7" s="343">
        <v>1</v>
      </c>
    </row>
    <row r="8" spans="1:7" s="12" customFormat="1" ht="25.5" customHeight="1">
      <c r="A8" s="344" t="s">
        <v>86</v>
      </c>
      <c r="B8" s="344">
        <f>Parâmetros!C10</f>
        <v>2017</v>
      </c>
      <c r="C8" s="344" t="s">
        <v>13</v>
      </c>
      <c r="D8" s="344">
        <f>B8-1</f>
        <v>2016</v>
      </c>
      <c r="E8" s="344" t="s">
        <v>13</v>
      </c>
      <c r="F8" s="344">
        <f>D8-1</f>
        <v>2015</v>
      </c>
      <c r="G8" s="345" t="s">
        <v>13</v>
      </c>
    </row>
    <row r="9" spans="1:7" ht="15.75">
      <c r="A9" s="346" t="s">
        <v>87</v>
      </c>
      <c r="B9" s="395">
        <f>D12</f>
        <v>49319100.04000001</v>
      </c>
      <c r="C9" s="396">
        <f>IF(B12=0,"-",(B9/B12))</f>
        <v>0.9413073695782068</v>
      </c>
      <c r="D9" s="395">
        <f>F12</f>
        <v>43825224.81</v>
      </c>
      <c r="E9" s="396">
        <f>IF(D12=0,"-",(D9/D12))</f>
        <v>0.8886055255358629</v>
      </c>
      <c r="F9" s="395">
        <v>34158785.42</v>
      </c>
      <c r="G9" s="396">
        <f>IF(F12=0,"-",(F9/F12))</f>
        <v>0.7794320637964116</v>
      </c>
    </row>
    <row r="10" spans="1:7" ht="15.75">
      <c r="A10" s="346" t="s">
        <v>41</v>
      </c>
      <c r="B10" s="401"/>
      <c r="C10" s="396">
        <f>IF(B12=0,"-",(B10/B12))</f>
        <v>0</v>
      </c>
      <c r="D10" s="401"/>
      <c r="E10" s="396">
        <f>IF(D12=0,"-",(D10/D12))</f>
        <v>0</v>
      </c>
      <c r="F10" s="341"/>
      <c r="G10" s="396">
        <f>IF(F12=0,"-",(F10/F12))</f>
        <v>0</v>
      </c>
    </row>
    <row r="11" spans="1:7" ht="15.75">
      <c r="A11" s="347" t="s">
        <v>88</v>
      </c>
      <c r="B11" s="342">
        <v>3075156.75</v>
      </c>
      <c r="C11" s="399">
        <f>IF(B12=0,"-",(B11/B12))</f>
        <v>0.058692630421793214</v>
      </c>
      <c r="D11" s="342">
        <v>5493875.23</v>
      </c>
      <c r="E11" s="399">
        <f>IF(D12=0,"-",(D11/D12))</f>
        <v>0.11139447446413703</v>
      </c>
      <c r="F11" s="342">
        <v>9666439.39</v>
      </c>
      <c r="G11" s="399">
        <f>IF(F12=0,"-",(F11/F12))</f>
        <v>0.22056793620358842</v>
      </c>
    </row>
    <row r="12" spans="1:7" ht="15.75">
      <c r="A12" s="348" t="s">
        <v>89</v>
      </c>
      <c r="B12" s="400">
        <f>SUM(B9:B11)</f>
        <v>52394256.79000001</v>
      </c>
      <c r="C12" s="399">
        <f>IF(B12=0,"-",(B12/B12))</f>
        <v>1</v>
      </c>
      <c r="D12" s="400">
        <f>SUM(D9:D11)</f>
        <v>49319100.04000001</v>
      </c>
      <c r="E12" s="399">
        <f>IF(D12=0,"-",(D12/D12))</f>
        <v>1</v>
      </c>
      <c r="F12" s="400">
        <f>SUM(F9:F11)</f>
        <v>43825224.81</v>
      </c>
      <c r="G12" s="399">
        <f>IF(F12=0,"-",(F12/F12))</f>
        <v>1</v>
      </c>
    </row>
    <row r="13" spans="1:7" ht="15.75">
      <c r="A13" s="568"/>
      <c r="B13" s="568"/>
      <c r="C13" s="568"/>
      <c r="D13" s="568"/>
      <c r="E13" s="568"/>
      <c r="F13" s="568"/>
      <c r="G13" s="568"/>
    </row>
    <row r="14" spans="1:7" ht="15.75" customHeight="1">
      <c r="A14" s="565" t="s">
        <v>90</v>
      </c>
      <c r="B14" s="565"/>
      <c r="C14" s="565"/>
      <c r="D14" s="565"/>
      <c r="E14" s="565"/>
      <c r="F14" s="565"/>
      <c r="G14" s="565"/>
    </row>
    <row r="15" spans="1:7" s="12" customFormat="1" ht="25.5" customHeight="1">
      <c r="A15" s="344" t="s">
        <v>86</v>
      </c>
      <c r="B15" s="344">
        <f>Parâmetros!C10</f>
        <v>2017</v>
      </c>
      <c r="C15" s="344" t="s">
        <v>13</v>
      </c>
      <c r="D15" s="344">
        <f>B15-1</f>
        <v>2016</v>
      </c>
      <c r="E15" s="344" t="s">
        <v>13</v>
      </c>
      <c r="F15" s="344">
        <f>D15-1</f>
        <v>2015</v>
      </c>
      <c r="G15" s="345" t="s">
        <v>13</v>
      </c>
    </row>
    <row r="16" spans="1:7" ht="15.75">
      <c r="A16" s="346" t="s">
        <v>87</v>
      </c>
      <c r="B16" s="395">
        <f>D19</f>
        <v>10823603.58</v>
      </c>
      <c r="C16" s="396">
        <f>IF(B19=0,"-",(B16/B19))</f>
        <v>0.84484726325118</v>
      </c>
      <c r="D16" s="395">
        <f>F19</f>
        <v>6764292.649999999</v>
      </c>
      <c r="E16" s="396">
        <f>IF(D19=0,"-",(D16/D19))</f>
        <v>0.6249575384023811</v>
      </c>
      <c r="F16" s="395">
        <v>6112475.47</v>
      </c>
      <c r="G16" s="396">
        <f>IF(F19=0,"-",(F16/F19))</f>
        <v>0.9036385304825627</v>
      </c>
    </row>
    <row r="17" spans="1:7" ht="15.75">
      <c r="A17" s="346" t="s">
        <v>41</v>
      </c>
      <c r="B17" s="341"/>
      <c r="C17" s="396">
        <f>IF(B19=0,"-",(B17/B19))</f>
        <v>0</v>
      </c>
      <c r="D17" s="341"/>
      <c r="E17" s="396">
        <f>IF(D19=0,"-",(D17/D19))</f>
        <v>0</v>
      </c>
      <c r="F17" s="341"/>
      <c r="G17" s="396">
        <f>IF(F19=0,"-",(F17/F19))</f>
        <v>0</v>
      </c>
    </row>
    <row r="18" spans="1:7" ht="31.5">
      <c r="A18" s="347" t="s">
        <v>576</v>
      </c>
      <c r="B18" s="342">
        <v>1987710.43</v>
      </c>
      <c r="C18" s="399">
        <f>IF(B19=0,"-",(B18/B19))</f>
        <v>0.15515273674882005</v>
      </c>
      <c r="D18" s="342">
        <v>4059310.93</v>
      </c>
      <c r="E18" s="399">
        <f>IF(D19=0,"-",(D18/D19))</f>
        <v>0.3750424615976189</v>
      </c>
      <c r="F18" s="342">
        <v>651817.18</v>
      </c>
      <c r="G18" s="399">
        <f>IF(F19=0,"-",(F18/F19))</f>
        <v>0.09636146951743729</v>
      </c>
    </row>
    <row r="19" spans="1:7" ht="15.75">
      <c r="A19" s="348" t="s">
        <v>89</v>
      </c>
      <c r="B19" s="400">
        <f>SUM(B16:B18)</f>
        <v>12811314.01</v>
      </c>
      <c r="C19" s="399">
        <f>IF(B19=0,"-",(B19/B19))</f>
        <v>1</v>
      </c>
      <c r="D19" s="400">
        <f>SUM(D16:D18)</f>
        <v>10823603.58</v>
      </c>
      <c r="E19" s="399">
        <f>IF(D19=0,"-",(D19/D19))</f>
        <v>1</v>
      </c>
      <c r="F19" s="400">
        <f>SUM(F16:F18)</f>
        <v>6764292.649999999</v>
      </c>
      <c r="G19" s="399">
        <f>IF(F19=0,"-",(F19/F19))</f>
        <v>1</v>
      </c>
    </row>
    <row r="20" spans="1:7" ht="15.75">
      <c r="A20" s="566"/>
      <c r="B20" s="566"/>
      <c r="C20" s="566"/>
      <c r="D20" s="566"/>
      <c r="E20" s="566"/>
      <c r="F20" s="566"/>
      <c r="G20" s="566"/>
    </row>
    <row r="21" spans="1:7" ht="15.75" customHeight="1">
      <c r="A21" s="565" t="s">
        <v>176</v>
      </c>
      <c r="B21" s="565"/>
      <c r="C21" s="565"/>
      <c r="D21" s="565"/>
      <c r="E21" s="565"/>
      <c r="F21" s="565"/>
      <c r="G21" s="565"/>
    </row>
    <row r="22" spans="1:7" s="12" customFormat="1" ht="25.5" customHeight="1">
      <c r="A22" s="344" t="s">
        <v>86</v>
      </c>
      <c r="B22" s="344">
        <f>Parâmetros!C10</f>
        <v>2017</v>
      </c>
      <c r="C22" s="344" t="s">
        <v>13</v>
      </c>
      <c r="D22" s="344">
        <f>B22-1</f>
        <v>2016</v>
      </c>
      <c r="E22" s="344" t="s">
        <v>13</v>
      </c>
      <c r="F22" s="344">
        <f>D22-1</f>
        <v>2015</v>
      </c>
      <c r="G22" s="345" t="s">
        <v>13</v>
      </c>
    </row>
    <row r="23" spans="1:7" ht="15.75">
      <c r="A23" s="346" t="s">
        <v>87</v>
      </c>
      <c r="B23" s="395">
        <f>B9+B16</f>
        <v>60142703.620000005</v>
      </c>
      <c r="C23" s="396">
        <f>IF(B26=0,"-",(B23/B26))</f>
        <v>0.922355296980239</v>
      </c>
      <c r="D23" s="395">
        <f>D9+D16</f>
        <v>50589517.46</v>
      </c>
      <c r="E23" s="396">
        <f>IF(D26=0,"-",(D23/D26))</f>
        <v>0.8411580194272616</v>
      </c>
      <c r="F23" s="395">
        <f>F9+F16</f>
        <v>40271260.89</v>
      </c>
      <c r="G23" s="396">
        <f>IF(F26=0,"-",(F23/F26))</f>
        <v>0.7960396325551352</v>
      </c>
    </row>
    <row r="24" spans="1:7" ht="15.75">
      <c r="A24" s="346" t="s">
        <v>41</v>
      </c>
      <c r="B24" s="397">
        <f>B10+B17</f>
        <v>0</v>
      </c>
      <c r="C24" s="396">
        <f>IF(B26=0,"-",(B24/B26))</f>
        <v>0</v>
      </c>
      <c r="D24" s="397">
        <f>D10+D17</f>
        <v>0</v>
      </c>
      <c r="E24" s="396">
        <f>IF(D26=0,"-",(D24/D26))</f>
        <v>0</v>
      </c>
      <c r="F24" s="397">
        <f>F10+F17</f>
        <v>0</v>
      </c>
      <c r="G24" s="396">
        <f>IF(F26=0,"-",(F24/F26))</f>
        <v>0</v>
      </c>
    </row>
    <row r="25" spans="1:7" ht="15.75">
      <c r="A25" s="347" t="s">
        <v>88</v>
      </c>
      <c r="B25" s="398">
        <f>B11+B18</f>
        <v>5062867.18</v>
      </c>
      <c r="C25" s="399">
        <f>IF(B26=0,"-",(B25/B26))</f>
        <v>0.077644703019761</v>
      </c>
      <c r="D25" s="398">
        <f>D11+D18</f>
        <v>9553186.16</v>
      </c>
      <c r="E25" s="399">
        <f>IF(D26=0,"-",(D25/D26))</f>
        <v>0.15884198057273832</v>
      </c>
      <c r="F25" s="398">
        <f>F11+F18</f>
        <v>10318256.57</v>
      </c>
      <c r="G25" s="399">
        <f>IF(F26=0,"-",(F25/F26))</f>
        <v>0.20396036744486473</v>
      </c>
    </row>
    <row r="26" spans="1:7" ht="15.75">
      <c r="A26" s="348" t="s">
        <v>89</v>
      </c>
      <c r="B26" s="400">
        <f>SUM(B23:B25)</f>
        <v>65205570.800000004</v>
      </c>
      <c r="C26" s="399">
        <f>IF(B26=0,"-",(B26/B26))</f>
        <v>1</v>
      </c>
      <c r="D26" s="400">
        <f>SUM(D23:D25)</f>
        <v>60142703.620000005</v>
      </c>
      <c r="E26" s="399">
        <f>IF(D26=0,"-",(D26/D26))</f>
        <v>1</v>
      </c>
      <c r="F26" s="400">
        <f>SUM(F23:F25)</f>
        <v>50589517.46</v>
      </c>
      <c r="G26" s="399">
        <f>IF(F26=0,"-",(F26/F26))</f>
        <v>1</v>
      </c>
    </row>
    <row r="27" spans="1:7" ht="15.75">
      <c r="A27" s="563" t="s">
        <v>631</v>
      </c>
      <c r="B27" s="564"/>
      <c r="C27" s="564"/>
      <c r="D27" s="564"/>
      <c r="E27" s="564"/>
      <c r="F27" s="564"/>
      <c r="G27" s="564"/>
    </row>
    <row r="28" ht="12.75">
      <c r="A28" s="7" t="s">
        <v>632</v>
      </c>
    </row>
  </sheetData>
  <sheetProtection/>
  <mergeCells count="12">
    <mergeCell ref="A1:G1"/>
    <mergeCell ref="A2:G2"/>
    <mergeCell ref="A13:G13"/>
    <mergeCell ref="A14:G14"/>
    <mergeCell ref="A7:B7"/>
    <mergeCell ref="A3:G3"/>
    <mergeCell ref="A4:G4"/>
    <mergeCell ref="A5:G5"/>
    <mergeCell ref="A27:G27"/>
    <mergeCell ref="A6:G6"/>
    <mergeCell ref="A21:G21"/>
    <mergeCell ref="A20:G20"/>
  </mergeCells>
  <printOptions/>
  <pageMargins left="0.787401575" right="0.787401575" top="0.984251969" bottom="0.984251969" header="0.492125985" footer="0.492125985"/>
  <pageSetup horizontalDpi="300" verticalDpi="300" orientation="portrait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5"/>
  <dimension ref="A1:D27"/>
  <sheetViews>
    <sheetView zoomScale="90" zoomScaleNormal="90" zoomScaleSheetLayoutView="90" zoomScalePageLayoutView="0" workbookViewId="0" topLeftCell="A7">
      <selection activeCell="A27" sqref="A27:D27"/>
    </sheetView>
  </sheetViews>
  <sheetFormatPr defaultColWidth="9.140625" defaultRowHeight="12.75"/>
  <cols>
    <col min="1" max="1" width="64.00390625" style="13" customWidth="1"/>
    <col min="2" max="3" width="14.7109375" style="13" customWidth="1"/>
    <col min="4" max="4" width="15.7109375" style="13" customWidth="1"/>
    <col min="5" max="16384" width="9.140625" style="13" customWidth="1"/>
  </cols>
  <sheetData>
    <row r="1" spans="1:4" ht="15.75">
      <c r="A1" s="567" t="str">
        <f>Parâmetros!A7</f>
        <v>Município de :Ivoti</v>
      </c>
      <c r="B1" s="561"/>
      <c r="C1" s="561"/>
      <c r="D1" s="562"/>
    </row>
    <row r="2" spans="1:4" ht="15.75">
      <c r="A2" s="560" t="s">
        <v>36</v>
      </c>
      <c r="B2" s="561"/>
      <c r="C2" s="561"/>
      <c r="D2" s="562"/>
    </row>
    <row r="3" spans="1:4" ht="15.75">
      <c r="A3" s="560" t="str">
        <f>'Metas Cons'!A3:M3</f>
        <v>ANEXO DE METAS FISCAIS</v>
      </c>
      <c r="B3" s="561"/>
      <c r="C3" s="561"/>
      <c r="D3" s="562"/>
    </row>
    <row r="4" spans="1:4" ht="15.75">
      <c r="A4" s="557" t="s">
        <v>462</v>
      </c>
      <c r="B4" s="558"/>
      <c r="C4" s="558"/>
      <c r="D4" s="559"/>
    </row>
    <row r="5" spans="1:4" ht="15.75">
      <c r="A5" s="560" t="s">
        <v>573</v>
      </c>
      <c r="B5" s="561"/>
      <c r="C5" s="561"/>
      <c r="D5" s="562"/>
    </row>
    <row r="6" spans="1:4" ht="15.75">
      <c r="A6" s="560"/>
      <c r="B6" s="561"/>
      <c r="C6" s="561"/>
      <c r="D6" s="562"/>
    </row>
    <row r="7" spans="1:4" ht="15.75">
      <c r="A7" s="349" t="s">
        <v>467</v>
      </c>
      <c r="B7" s="350"/>
      <c r="C7" s="350"/>
      <c r="D7" s="351">
        <v>1</v>
      </c>
    </row>
    <row r="8" spans="1:4" s="14" customFormat="1" ht="25.5" customHeight="1">
      <c r="A8" s="344" t="s">
        <v>91</v>
      </c>
      <c r="B8" s="344">
        <f>Parâmetros!C10</f>
        <v>2017</v>
      </c>
      <c r="C8" s="344">
        <f>B8-1</f>
        <v>2016</v>
      </c>
      <c r="D8" s="358">
        <f>C8-1</f>
        <v>2015</v>
      </c>
    </row>
    <row r="9" spans="1:4" s="14" customFormat="1" ht="25.5" customHeight="1">
      <c r="A9" s="359" t="s">
        <v>578</v>
      </c>
      <c r="B9" s="402"/>
      <c r="C9" s="402">
        <v>0</v>
      </c>
      <c r="D9" s="352">
        <v>0</v>
      </c>
    </row>
    <row r="10" spans="1:4" ht="12.75" customHeight="1">
      <c r="A10" s="360" t="s">
        <v>577</v>
      </c>
      <c r="B10" s="403">
        <f>B11+B12</f>
        <v>407088.2</v>
      </c>
      <c r="C10" s="403">
        <f>C11+C12</f>
        <v>1474978.58</v>
      </c>
      <c r="D10" s="403">
        <f>D11+D12</f>
        <v>1527633.76</v>
      </c>
    </row>
    <row r="11" spans="1:4" ht="12.75" customHeight="1">
      <c r="A11" s="361" t="s">
        <v>92</v>
      </c>
      <c r="B11" s="404">
        <f>Projeções!E83</f>
        <v>0</v>
      </c>
      <c r="C11" s="404">
        <f>Projeções!D83</f>
        <v>0</v>
      </c>
      <c r="D11" s="404">
        <f>Projeções!C83</f>
        <v>0</v>
      </c>
    </row>
    <row r="12" spans="1:4" ht="12.75" customHeight="1">
      <c r="A12" s="362" t="s">
        <v>93</v>
      </c>
      <c r="B12" s="404">
        <f>Projeções!E84-45777.7</f>
        <v>407088.2</v>
      </c>
      <c r="C12" s="404">
        <f>Projeções!D84-247660.47</f>
        <v>1474978.58</v>
      </c>
      <c r="D12" s="404">
        <f>Projeções!C84-186922.53</f>
        <v>1527633.76</v>
      </c>
    </row>
    <row r="13" spans="1:4" ht="12.75" customHeight="1">
      <c r="A13" s="362" t="s">
        <v>139</v>
      </c>
      <c r="B13" s="353">
        <v>45770.7</v>
      </c>
      <c r="C13" s="353">
        <v>33872.4</v>
      </c>
      <c r="D13" s="353">
        <v>27393.86</v>
      </c>
    </row>
    <row r="14" spans="1:4" ht="15.75">
      <c r="A14" s="571"/>
      <c r="B14" s="571"/>
      <c r="C14" s="571"/>
      <c r="D14" s="571"/>
    </row>
    <row r="15" spans="1:4" s="14" customFormat="1" ht="14.25">
      <c r="A15" s="573" t="s">
        <v>158</v>
      </c>
      <c r="B15" s="575">
        <f>Parâmetros!C10</f>
        <v>2017</v>
      </c>
      <c r="C15" s="575">
        <f>B15-1</f>
        <v>2016</v>
      </c>
      <c r="D15" s="577">
        <f>C15-1</f>
        <v>2015</v>
      </c>
    </row>
    <row r="16" spans="1:4" s="14" customFormat="1" ht="14.25">
      <c r="A16" s="574"/>
      <c r="B16" s="576"/>
      <c r="C16" s="576"/>
      <c r="D16" s="578"/>
    </row>
    <row r="17" spans="1:4" ht="15.75">
      <c r="A17" s="360" t="s">
        <v>579</v>
      </c>
      <c r="B17" s="405">
        <f>B18+B22</f>
        <v>1606805.88</v>
      </c>
      <c r="C17" s="405">
        <f>C18+C22</f>
        <v>4276696.6</v>
      </c>
      <c r="D17" s="405">
        <f>D18+D22</f>
        <v>3571040.55</v>
      </c>
    </row>
    <row r="18" spans="1:4" ht="15.75">
      <c r="A18" s="361" t="s">
        <v>94</v>
      </c>
      <c r="B18" s="406">
        <f>B19+B20+B21</f>
        <v>1606805.88</v>
      </c>
      <c r="C18" s="406">
        <f>C19+C20+C21</f>
        <v>4276696.6</v>
      </c>
      <c r="D18" s="407">
        <f>D19+D20+D21</f>
        <v>3571040.55</v>
      </c>
    </row>
    <row r="19" spans="1:4" ht="15.75">
      <c r="A19" s="361" t="s">
        <v>95</v>
      </c>
      <c r="B19" s="354">
        <v>1240638.92</v>
      </c>
      <c r="C19" s="354">
        <v>4206232.3</v>
      </c>
      <c r="D19" s="355">
        <v>3478853.19</v>
      </c>
    </row>
    <row r="20" spans="1:4" ht="15.75">
      <c r="A20" s="361" t="s">
        <v>96</v>
      </c>
      <c r="B20" s="354">
        <v>0</v>
      </c>
      <c r="C20" s="354">
        <v>0</v>
      </c>
      <c r="D20" s="355">
        <v>0</v>
      </c>
    </row>
    <row r="21" spans="1:4" ht="15.75">
      <c r="A21" s="361" t="s">
        <v>97</v>
      </c>
      <c r="B21" s="354">
        <v>366166.96</v>
      </c>
      <c r="C21" s="354">
        <v>70464.3</v>
      </c>
      <c r="D21" s="355">
        <v>92187.36</v>
      </c>
    </row>
    <row r="22" spans="1:4" ht="15.75">
      <c r="A22" s="361" t="s">
        <v>98</v>
      </c>
      <c r="B22" s="406">
        <f>B23+B24</f>
        <v>0</v>
      </c>
      <c r="C22" s="406">
        <f>C23+C24</f>
        <v>0</v>
      </c>
      <c r="D22" s="407">
        <f>D23+D24</f>
        <v>0</v>
      </c>
    </row>
    <row r="23" spans="1:4" ht="15.75">
      <c r="A23" s="361" t="s">
        <v>99</v>
      </c>
      <c r="B23" s="354">
        <v>0</v>
      </c>
      <c r="C23" s="354">
        <v>0</v>
      </c>
      <c r="D23" s="355">
        <v>0</v>
      </c>
    </row>
    <row r="24" spans="1:4" ht="15.75">
      <c r="A24" s="362" t="s">
        <v>100</v>
      </c>
      <c r="B24" s="356">
        <v>0</v>
      </c>
      <c r="C24" s="356">
        <v>0</v>
      </c>
      <c r="D24" s="357">
        <v>0</v>
      </c>
    </row>
    <row r="25" spans="1:4" ht="15.75">
      <c r="A25" s="363" t="s">
        <v>101</v>
      </c>
      <c r="B25" s="408"/>
      <c r="C25" s="408"/>
      <c r="D25" s="409"/>
    </row>
    <row r="26" spans="1:4" ht="15.75">
      <c r="A26" s="364" t="s">
        <v>580</v>
      </c>
      <c r="B26" s="410">
        <f>C26+B10+B13-B17</f>
        <v>-5937805.529999998</v>
      </c>
      <c r="C26" s="410">
        <f>D26+C10+C13-C17</f>
        <v>-4783858.549999999</v>
      </c>
      <c r="D26" s="410">
        <f>D9+D10+D13-D17</f>
        <v>-2016012.9299999997</v>
      </c>
    </row>
    <row r="27" spans="1:4" ht="15.75">
      <c r="A27" s="572"/>
      <c r="B27" s="572"/>
      <c r="C27" s="572"/>
      <c r="D27" s="572"/>
    </row>
  </sheetData>
  <sheetProtection/>
  <mergeCells count="12">
    <mergeCell ref="A5:D5"/>
    <mergeCell ref="A6:D6"/>
    <mergeCell ref="A1:D1"/>
    <mergeCell ref="A2:D2"/>
    <mergeCell ref="A3:D3"/>
    <mergeCell ref="A4:D4"/>
    <mergeCell ref="A14:D14"/>
    <mergeCell ref="A27:D27"/>
    <mergeCell ref="A15:A16"/>
    <mergeCell ref="B15:B16"/>
    <mergeCell ref="C15:C16"/>
    <mergeCell ref="D15:D16"/>
  </mergeCells>
  <printOptions/>
  <pageMargins left="0.787401575" right="0.787401575" top="0.984251969" bottom="0.984251969" header="0.492125985" footer="0.492125985"/>
  <pageSetup horizontalDpi="300" verticalDpi="300" orientation="portrait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18">
      <selection activeCell="J86" sqref="J86"/>
    </sheetView>
  </sheetViews>
  <sheetFormatPr defaultColWidth="9.140625" defaultRowHeight="11.25" customHeight="1"/>
  <cols>
    <col min="1" max="1" width="59.28125" style="54" customWidth="1"/>
    <col min="2" max="2" width="13.8515625" style="54" customWidth="1"/>
    <col min="3" max="3" width="12.7109375" style="54" bestFit="1" customWidth="1"/>
    <col min="4" max="4" width="18.57421875" style="54" hidden="1" customWidth="1"/>
    <col min="5" max="5" width="12.8515625" style="54" hidden="1" customWidth="1"/>
    <col min="6" max="6" width="12.8515625" style="54" customWidth="1"/>
    <col min="7" max="7" width="7.140625" style="54" customWidth="1"/>
    <col min="8" max="8" width="12.8515625" style="54" customWidth="1"/>
    <col min="9" max="9" width="6.28125" style="54" customWidth="1"/>
    <col min="10" max="10" width="9.140625" style="54" customWidth="1"/>
    <col min="11" max="11" width="11.7109375" style="54" bestFit="1" customWidth="1"/>
    <col min="12" max="16384" width="9.140625" style="54" customWidth="1"/>
  </cols>
  <sheetData>
    <row r="1" spans="1:7" ht="11.25" customHeight="1">
      <c r="A1" s="595" t="str">
        <f>Parâmetros!A7</f>
        <v>Município de :Ivoti</v>
      </c>
      <c r="B1" s="596"/>
      <c r="C1" s="596"/>
      <c r="D1" s="596"/>
      <c r="E1" s="596"/>
      <c r="F1" s="596"/>
      <c r="G1" s="596"/>
    </row>
    <row r="2" spans="1:7" s="42" customFormat="1" ht="11.25" customHeight="1">
      <c r="A2" s="597" t="s">
        <v>36</v>
      </c>
      <c r="B2" s="597"/>
      <c r="C2" s="597"/>
      <c r="D2" s="597"/>
      <c r="E2" s="597"/>
      <c r="F2" s="597"/>
      <c r="G2" s="597"/>
    </row>
    <row r="3" spans="1:7" ht="11.25" customHeight="1">
      <c r="A3" s="596" t="s">
        <v>150</v>
      </c>
      <c r="B3" s="596"/>
      <c r="C3" s="596"/>
      <c r="D3" s="596"/>
      <c r="E3" s="596"/>
      <c r="F3" s="596"/>
      <c r="G3" s="596"/>
    </row>
    <row r="4" spans="1:7" ht="11.25" customHeight="1">
      <c r="A4" s="598" t="s">
        <v>445</v>
      </c>
      <c r="B4" s="598"/>
      <c r="C4" s="598"/>
      <c r="D4" s="598"/>
      <c r="E4" s="598"/>
      <c r="F4" s="598"/>
      <c r="G4" s="598"/>
    </row>
    <row r="5" spans="1:7" s="42" customFormat="1" ht="11.25" customHeight="1">
      <c r="A5" s="596" t="s">
        <v>569</v>
      </c>
      <c r="B5" s="597"/>
      <c r="C5" s="597"/>
      <c r="D5" s="597"/>
      <c r="E5" s="597"/>
      <c r="F5" s="597"/>
      <c r="G5" s="597"/>
    </row>
    <row r="6" spans="1:7" s="42" customFormat="1" ht="11.25" customHeight="1">
      <c r="A6" s="599"/>
      <c r="B6" s="599"/>
      <c r="C6" s="599"/>
      <c r="D6" s="599"/>
      <c r="E6" s="599"/>
      <c r="F6" s="599"/>
      <c r="G6" s="600"/>
    </row>
    <row r="7" spans="1:9" s="43" customFormat="1" ht="11.25" customHeight="1" thickBot="1">
      <c r="A7" s="607" t="s">
        <v>395</v>
      </c>
      <c r="B7" s="607"/>
      <c r="C7" s="607"/>
      <c r="D7" s="607"/>
      <c r="E7" s="607"/>
      <c r="F7" s="607"/>
      <c r="G7" s="607"/>
      <c r="H7" s="604">
        <v>1</v>
      </c>
      <c r="I7" s="604"/>
    </row>
    <row r="8" spans="1:9" s="43" customFormat="1" ht="11.25" customHeight="1" thickBot="1">
      <c r="A8" s="601" t="s">
        <v>396</v>
      </c>
      <c r="B8" s="601"/>
      <c r="C8" s="601"/>
      <c r="D8" s="601"/>
      <c r="E8" s="601"/>
      <c r="F8" s="601"/>
      <c r="G8" s="601"/>
      <c r="H8" s="601"/>
      <c r="I8" s="601"/>
    </row>
    <row r="9" spans="1:9" s="42" customFormat="1" ht="11.25" customHeight="1">
      <c r="A9" s="605" t="s">
        <v>397</v>
      </c>
      <c r="B9" s="606"/>
      <c r="C9" s="606"/>
      <c r="D9" s="606"/>
      <c r="E9" s="606"/>
      <c r="F9" s="606"/>
      <c r="G9" s="606"/>
      <c r="H9" s="606"/>
      <c r="I9" s="606"/>
    </row>
    <row r="10" spans="1:9" s="42" customFormat="1" ht="11.25" customHeight="1">
      <c r="A10" s="168"/>
      <c r="B10" s="589">
        <f>Parâmetros!C10</f>
        <v>2017</v>
      </c>
      <c r="C10" s="590"/>
      <c r="D10" s="590"/>
      <c r="E10" s="591"/>
      <c r="F10" s="582">
        <f>B10-1</f>
        <v>2016</v>
      </c>
      <c r="G10" s="588"/>
      <c r="H10" s="582">
        <f>F10-1</f>
        <v>2015</v>
      </c>
      <c r="I10" s="588"/>
    </row>
    <row r="11" spans="1:9" s="42" customFormat="1" ht="11.25" customHeight="1">
      <c r="A11" s="115" t="s">
        <v>398</v>
      </c>
      <c r="B11" s="586">
        <f>B12+B31+B21+B37</f>
        <v>13413068.86</v>
      </c>
      <c r="C11" s="585"/>
      <c r="D11" s="142"/>
      <c r="E11" s="143"/>
      <c r="F11" s="586">
        <f>F12+F21+F31+F37</f>
        <v>12674243.05</v>
      </c>
      <c r="G11" s="585"/>
      <c r="H11" s="580">
        <f>H12+H21+H31+H37</f>
        <v>7930988.41</v>
      </c>
      <c r="I11" s="581"/>
    </row>
    <row r="12" spans="1:9" s="42" customFormat="1" ht="11.25" customHeight="1">
      <c r="A12" s="116" t="s">
        <v>399</v>
      </c>
      <c r="B12" s="586">
        <f>B13</f>
        <v>2469242.37</v>
      </c>
      <c r="C12" s="585"/>
      <c r="D12" s="144"/>
      <c r="E12" s="144"/>
      <c r="F12" s="586">
        <f>F13</f>
        <v>2094108.07</v>
      </c>
      <c r="G12" s="585"/>
      <c r="H12" s="580">
        <v>1482588.3</v>
      </c>
      <c r="I12" s="581"/>
    </row>
    <row r="13" spans="1:9" s="42" customFormat="1" ht="11.25" customHeight="1">
      <c r="A13" s="117" t="s">
        <v>400</v>
      </c>
      <c r="B13" s="586">
        <f>B14+B15</f>
        <v>2469242.37</v>
      </c>
      <c r="C13" s="585"/>
      <c r="D13" s="144"/>
      <c r="E13" s="144"/>
      <c r="F13" s="586">
        <f>F14+F15</f>
        <v>2094108.07</v>
      </c>
      <c r="G13" s="585"/>
      <c r="H13" s="580">
        <f>H14+H15+H16</f>
        <v>1482588.3</v>
      </c>
      <c r="I13" s="581"/>
    </row>
    <row r="14" spans="1:9" s="42" customFormat="1" ht="11.25" customHeight="1">
      <c r="A14" s="119" t="s">
        <v>401</v>
      </c>
      <c r="B14" s="586">
        <v>2461539.79</v>
      </c>
      <c r="C14" s="585"/>
      <c r="D14" s="144"/>
      <c r="E14" s="144"/>
      <c r="F14" s="586">
        <v>2090835.86</v>
      </c>
      <c r="G14" s="585"/>
      <c r="H14" s="580">
        <v>1481509.19</v>
      </c>
      <c r="I14" s="581"/>
    </row>
    <row r="15" spans="1:9" s="42" customFormat="1" ht="11.25" customHeight="1">
      <c r="A15" s="119" t="s">
        <v>402</v>
      </c>
      <c r="B15" s="586">
        <v>7702.58</v>
      </c>
      <c r="C15" s="585"/>
      <c r="D15" s="144"/>
      <c r="E15" s="144"/>
      <c r="F15" s="580">
        <v>3272.21</v>
      </c>
      <c r="G15" s="581"/>
      <c r="H15" s="580">
        <v>1079.11</v>
      </c>
      <c r="I15" s="587"/>
    </row>
    <row r="16" spans="1:9" s="42" customFormat="1" ht="11.25" customHeight="1">
      <c r="A16" s="119" t="s">
        <v>403</v>
      </c>
      <c r="B16" s="585"/>
      <c r="C16" s="585"/>
      <c r="D16" s="144"/>
      <c r="E16" s="144"/>
      <c r="F16" s="580"/>
      <c r="G16" s="581"/>
      <c r="H16" s="580"/>
      <c r="I16" s="587"/>
    </row>
    <row r="17" spans="1:9" s="42" customFormat="1" ht="11.25" customHeight="1">
      <c r="A17" s="117" t="s">
        <v>404</v>
      </c>
      <c r="B17" s="585"/>
      <c r="C17" s="585"/>
      <c r="D17" s="144"/>
      <c r="E17" s="144"/>
      <c r="F17" s="585"/>
      <c r="G17" s="585"/>
      <c r="H17" s="585"/>
      <c r="I17" s="585"/>
    </row>
    <row r="18" spans="1:9" s="42" customFormat="1" ht="11.25" customHeight="1">
      <c r="A18" s="119" t="s">
        <v>401</v>
      </c>
      <c r="B18" s="585"/>
      <c r="C18" s="585"/>
      <c r="D18" s="144"/>
      <c r="E18" s="144"/>
      <c r="F18" s="585"/>
      <c r="G18" s="585"/>
      <c r="H18" s="585"/>
      <c r="I18" s="585"/>
    </row>
    <row r="19" spans="1:9" s="42" customFormat="1" ht="11.25" customHeight="1">
      <c r="A19" s="119" t="s">
        <v>402</v>
      </c>
      <c r="B19" s="585"/>
      <c r="C19" s="585"/>
      <c r="D19" s="144"/>
      <c r="E19" s="144"/>
      <c r="F19" s="585"/>
      <c r="G19" s="585"/>
      <c r="H19" s="585"/>
      <c r="I19" s="585"/>
    </row>
    <row r="20" spans="1:9" s="42" customFormat="1" ht="11.25" customHeight="1">
      <c r="A20" s="119" t="s">
        <v>403</v>
      </c>
      <c r="B20" s="585"/>
      <c r="C20" s="585"/>
      <c r="D20" s="144"/>
      <c r="E20" s="144"/>
      <c r="F20" s="585"/>
      <c r="G20" s="585"/>
      <c r="H20" s="585"/>
      <c r="I20" s="585"/>
    </row>
    <row r="21" spans="1:9" s="42" customFormat="1" ht="11.25" customHeight="1">
      <c r="A21" s="44" t="s">
        <v>405</v>
      </c>
      <c r="B21" s="586">
        <f>B22</f>
        <v>3620599.48</v>
      </c>
      <c r="C21" s="585"/>
      <c r="D21" s="144"/>
      <c r="E21" s="144"/>
      <c r="F21" s="586">
        <f>F22</f>
        <v>3056450.88</v>
      </c>
      <c r="G21" s="585"/>
      <c r="H21" s="586">
        <f>H22</f>
        <v>2168350.65</v>
      </c>
      <c r="I21" s="585"/>
    </row>
    <row r="22" spans="1:9" s="42" customFormat="1" ht="11.25" customHeight="1">
      <c r="A22" s="117" t="s">
        <v>400</v>
      </c>
      <c r="B22" s="586">
        <f>B23+B24</f>
        <v>3620599.48</v>
      </c>
      <c r="C22" s="585"/>
      <c r="D22" s="144"/>
      <c r="E22" s="144"/>
      <c r="F22" s="586">
        <f>F23+F24</f>
        <v>3056450.88</v>
      </c>
      <c r="G22" s="585"/>
      <c r="H22" s="586">
        <f>H23+H24</f>
        <v>2168350.65</v>
      </c>
      <c r="I22" s="585"/>
    </row>
    <row r="23" spans="1:9" s="42" customFormat="1" ht="11.25" customHeight="1">
      <c r="A23" s="119" t="s">
        <v>401</v>
      </c>
      <c r="B23" s="580">
        <v>3609302.13</v>
      </c>
      <c r="C23" s="587"/>
      <c r="D23" s="144"/>
      <c r="E23" s="144"/>
      <c r="F23" s="580">
        <v>3051661.62</v>
      </c>
      <c r="G23" s="587"/>
      <c r="H23" s="580">
        <v>2167115.54</v>
      </c>
      <c r="I23" s="587"/>
    </row>
    <row r="24" spans="1:9" s="42" customFormat="1" ht="11.25" customHeight="1">
      <c r="A24" s="119" t="s">
        <v>402</v>
      </c>
      <c r="B24" s="580">
        <v>11297.35</v>
      </c>
      <c r="C24" s="587"/>
      <c r="D24" s="144"/>
      <c r="E24" s="144"/>
      <c r="F24" s="580">
        <v>4789.26</v>
      </c>
      <c r="G24" s="587"/>
      <c r="H24" s="580">
        <v>1235.11</v>
      </c>
      <c r="I24" s="587"/>
    </row>
    <row r="25" spans="1:9" s="42" customFormat="1" ht="11.25" customHeight="1">
      <c r="A25" s="119" t="s">
        <v>403</v>
      </c>
      <c r="B25" s="585"/>
      <c r="C25" s="585"/>
      <c r="D25" s="144"/>
      <c r="E25" s="144"/>
      <c r="F25" s="585"/>
      <c r="G25" s="585"/>
      <c r="H25" s="585"/>
      <c r="I25" s="585"/>
    </row>
    <row r="26" spans="1:9" s="42" customFormat="1" ht="11.25" customHeight="1">
      <c r="A26" s="117" t="s">
        <v>404</v>
      </c>
      <c r="B26" s="585"/>
      <c r="C26" s="585"/>
      <c r="D26" s="144"/>
      <c r="E26" s="144"/>
      <c r="F26" s="585"/>
      <c r="G26" s="585"/>
      <c r="H26" s="585"/>
      <c r="I26" s="585"/>
    </row>
    <row r="27" spans="1:9" s="42" customFormat="1" ht="11.25" customHeight="1">
      <c r="A27" s="119" t="s">
        <v>401</v>
      </c>
      <c r="B27" s="585"/>
      <c r="C27" s="585"/>
      <c r="D27" s="144"/>
      <c r="E27" s="144"/>
      <c r="F27" s="585"/>
      <c r="G27" s="585"/>
      <c r="H27" s="585"/>
      <c r="I27" s="585"/>
    </row>
    <row r="28" spans="1:9" s="42" customFormat="1" ht="11.25" customHeight="1">
      <c r="A28" s="119" t="s">
        <v>402</v>
      </c>
      <c r="B28" s="585"/>
      <c r="C28" s="585"/>
      <c r="D28" s="144"/>
      <c r="E28" s="144"/>
      <c r="F28" s="585"/>
      <c r="G28" s="585"/>
      <c r="H28" s="585"/>
      <c r="I28" s="585"/>
    </row>
    <row r="29" spans="1:9" s="42" customFormat="1" ht="11.25" customHeight="1">
      <c r="A29" s="119" t="s">
        <v>403</v>
      </c>
      <c r="B29" s="585"/>
      <c r="C29" s="585"/>
      <c r="D29" s="144"/>
      <c r="E29" s="144"/>
      <c r="F29" s="585"/>
      <c r="G29" s="585"/>
      <c r="H29" s="585"/>
      <c r="I29" s="585"/>
    </row>
    <row r="30" spans="1:9" s="42" customFormat="1" ht="11.25" customHeight="1">
      <c r="A30" s="117" t="s">
        <v>406</v>
      </c>
      <c r="B30" s="585"/>
      <c r="C30" s="585"/>
      <c r="D30" s="144"/>
      <c r="E30" s="144"/>
      <c r="F30" s="585"/>
      <c r="G30" s="585"/>
      <c r="H30" s="585"/>
      <c r="I30" s="585"/>
    </row>
    <row r="31" spans="1:9" s="42" customFormat="1" ht="11.25" customHeight="1">
      <c r="A31" s="116" t="s">
        <v>223</v>
      </c>
      <c r="B31" s="586">
        <f>B33</f>
        <v>4343480.47</v>
      </c>
      <c r="C31" s="585"/>
      <c r="D31" s="144"/>
      <c r="E31" s="144"/>
      <c r="F31" s="586">
        <f>F33</f>
        <v>5266607.29</v>
      </c>
      <c r="G31" s="585"/>
      <c r="H31" s="586">
        <f>H33</f>
        <v>2887512.09</v>
      </c>
      <c r="I31" s="585"/>
    </row>
    <row r="32" spans="1:9" s="42" customFormat="1" ht="11.25" customHeight="1">
      <c r="A32" s="117" t="s">
        <v>407</v>
      </c>
      <c r="B32" s="585"/>
      <c r="C32" s="585"/>
      <c r="D32" s="144"/>
      <c r="E32" s="144"/>
      <c r="F32" s="585"/>
      <c r="G32" s="585"/>
      <c r="H32" s="585"/>
      <c r="I32" s="585"/>
    </row>
    <row r="33" spans="1:9" s="42" customFormat="1" ht="11.25" customHeight="1">
      <c r="A33" s="117" t="s">
        <v>408</v>
      </c>
      <c r="B33" s="580">
        <v>4343480.47</v>
      </c>
      <c r="C33" s="581"/>
      <c r="D33" s="144"/>
      <c r="E33" s="144"/>
      <c r="F33" s="580">
        <v>5266607.29</v>
      </c>
      <c r="G33" s="581"/>
      <c r="H33" s="580">
        <v>2887512.09</v>
      </c>
      <c r="I33" s="581"/>
    </row>
    <row r="34" spans="1:9" s="42" customFormat="1" ht="11.25" customHeight="1">
      <c r="A34" s="117" t="s">
        <v>409</v>
      </c>
      <c r="B34" s="585"/>
      <c r="C34" s="585"/>
      <c r="D34" s="144"/>
      <c r="E34" s="144"/>
      <c r="F34" s="585"/>
      <c r="G34" s="585"/>
      <c r="H34" s="585"/>
      <c r="I34" s="585"/>
    </row>
    <row r="35" spans="1:9" s="42" customFormat="1" ht="11.25" customHeight="1">
      <c r="A35" s="116" t="s">
        <v>246</v>
      </c>
      <c r="B35" s="585"/>
      <c r="C35" s="585"/>
      <c r="D35" s="144"/>
      <c r="E35" s="144"/>
      <c r="F35" s="585"/>
      <c r="G35" s="585"/>
      <c r="H35" s="585"/>
      <c r="I35" s="585"/>
    </row>
    <row r="36" spans="1:9" s="42" customFormat="1" ht="11.25" customHeight="1">
      <c r="A36" s="116" t="s">
        <v>410</v>
      </c>
      <c r="B36" s="585"/>
      <c r="C36" s="585"/>
      <c r="D36" s="144"/>
      <c r="E36" s="144"/>
      <c r="F36" s="585"/>
      <c r="G36" s="585"/>
      <c r="H36" s="585"/>
      <c r="I36" s="585"/>
    </row>
    <row r="37" spans="1:9" s="42" customFormat="1" ht="11.25" customHeight="1">
      <c r="A37" s="116" t="s">
        <v>302</v>
      </c>
      <c r="B37" s="586">
        <f>B39</f>
        <v>2979746.54</v>
      </c>
      <c r="C37" s="585"/>
      <c r="D37" s="144"/>
      <c r="E37" s="144"/>
      <c r="F37" s="586">
        <f>F39</f>
        <v>2257076.81</v>
      </c>
      <c r="G37" s="585"/>
      <c r="H37" s="586">
        <f>H39</f>
        <v>1392537.37</v>
      </c>
      <c r="I37" s="585"/>
    </row>
    <row r="38" spans="1:11" s="42" customFormat="1" ht="11.25" customHeight="1">
      <c r="A38" s="117" t="s">
        <v>411</v>
      </c>
      <c r="B38" s="585"/>
      <c r="C38" s="585"/>
      <c r="D38" s="144"/>
      <c r="E38" s="144"/>
      <c r="F38" s="585"/>
      <c r="G38" s="585"/>
      <c r="H38" s="585"/>
      <c r="I38" s="585"/>
      <c r="K38" s="414"/>
    </row>
    <row r="39" spans="1:9" s="42" customFormat="1" ht="11.25" customHeight="1">
      <c r="A39" s="117" t="s">
        <v>308</v>
      </c>
      <c r="B39" s="580">
        <v>2979746.54</v>
      </c>
      <c r="C39" s="581"/>
      <c r="D39" s="144"/>
      <c r="E39" s="144"/>
      <c r="F39" s="580">
        <v>2257076.81</v>
      </c>
      <c r="G39" s="581"/>
      <c r="H39" s="580">
        <v>1392537.37</v>
      </c>
      <c r="I39" s="581"/>
    </row>
    <row r="40" spans="1:9" s="43" customFormat="1" ht="11.25" customHeight="1">
      <c r="A40" s="44" t="s">
        <v>412</v>
      </c>
      <c r="B40" s="585"/>
      <c r="C40" s="585"/>
      <c r="D40" s="144"/>
      <c r="E40" s="144"/>
      <c r="F40" s="585"/>
      <c r="G40" s="585"/>
      <c r="H40" s="585"/>
      <c r="I40" s="585"/>
    </row>
    <row r="41" spans="1:9" s="43" customFormat="1" ht="11.25" customHeight="1">
      <c r="A41" s="116" t="s">
        <v>413</v>
      </c>
      <c r="B41" s="585"/>
      <c r="C41" s="585"/>
      <c r="D41" s="144"/>
      <c r="E41" s="144"/>
      <c r="F41" s="585"/>
      <c r="G41" s="585"/>
      <c r="H41" s="585"/>
      <c r="I41" s="585"/>
    </row>
    <row r="42" spans="1:9" s="42" customFormat="1" ht="11.25" customHeight="1">
      <c r="A42" s="116" t="s">
        <v>327</v>
      </c>
      <c r="B42" s="585"/>
      <c r="C42" s="585"/>
      <c r="D42" s="144"/>
      <c r="E42" s="144"/>
      <c r="F42" s="585"/>
      <c r="G42" s="585"/>
      <c r="H42" s="585"/>
      <c r="I42" s="585"/>
    </row>
    <row r="43" spans="1:9" s="42" customFormat="1" ht="11.25" customHeight="1">
      <c r="A43" s="116" t="s">
        <v>338</v>
      </c>
      <c r="B43" s="585"/>
      <c r="C43" s="585"/>
      <c r="D43" s="144"/>
      <c r="E43" s="144"/>
      <c r="F43" s="586"/>
      <c r="G43" s="585"/>
      <c r="H43" s="585"/>
      <c r="I43" s="585"/>
    </row>
    <row r="44" spans="1:9" s="42" customFormat="1" ht="11.25" customHeight="1">
      <c r="A44" s="169" t="s">
        <v>414</v>
      </c>
      <c r="B44" s="586">
        <f>B11</f>
        <v>13413068.86</v>
      </c>
      <c r="C44" s="585"/>
      <c r="D44" s="170"/>
      <c r="E44" s="171"/>
      <c r="F44" s="586">
        <f>F11</f>
        <v>12674243.05</v>
      </c>
      <c r="G44" s="585"/>
      <c r="H44" s="586">
        <f>H11+H40</f>
        <v>7930988.41</v>
      </c>
      <c r="I44" s="585"/>
    </row>
    <row r="45" spans="2:6" s="42" customFormat="1" ht="11.25" customHeight="1">
      <c r="B45" s="120"/>
      <c r="C45" s="120"/>
      <c r="D45" s="120"/>
      <c r="E45" s="120"/>
      <c r="F45" s="118"/>
    </row>
    <row r="46" spans="1:9" s="42" customFormat="1" ht="11.25" customHeight="1">
      <c r="A46" s="172" t="s">
        <v>415</v>
      </c>
      <c r="B46" s="582">
        <f>B10</f>
        <v>2017</v>
      </c>
      <c r="C46" s="583"/>
      <c r="D46" s="583"/>
      <c r="E46" s="588"/>
      <c r="F46" s="582">
        <f>F10</f>
        <v>2016</v>
      </c>
      <c r="G46" s="588"/>
      <c r="H46" s="582">
        <f>H10</f>
        <v>2015</v>
      </c>
      <c r="I46" s="583"/>
    </row>
    <row r="47" spans="1:9" s="42" customFormat="1" ht="11.25" customHeight="1">
      <c r="A47" s="121" t="s">
        <v>416</v>
      </c>
      <c r="B47" s="585"/>
      <c r="C47" s="585"/>
      <c r="D47" s="138"/>
      <c r="E47" s="139"/>
      <c r="F47" s="585"/>
      <c r="G47" s="585"/>
      <c r="H47" s="592"/>
      <c r="I47" s="495"/>
    </row>
    <row r="48" spans="1:9" s="42" customFormat="1" ht="11.25" customHeight="1">
      <c r="A48" s="122" t="s">
        <v>417</v>
      </c>
      <c r="B48" s="585"/>
      <c r="C48" s="585"/>
      <c r="D48" s="140"/>
      <c r="E48" s="141"/>
      <c r="F48" s="585"/>
      <c r="G48" s="585"/>
      <c r="H48" s="592"/>
      <c r="I48" s="495"/>
    </row>
    <row r="49" spans="1:9" s="42" customFormat="1" ht="11.25" customHeight="1">
      <c r="A49" s="122" t="s">
        <v>418</v>
      </c>
      <c r="B49" s="585"/>
      <c r="C49" s="585"/>
      <c r="D49" s="140"/>
      <c r="E49" s="141"/>
      <c r="F49" s="585"/>
      <c r="G49" s="585"/>
      <c r="H49" s="592"/>
      <c r="I49" s="495"/>
    </row>
    <row r="50" spans="1:9" s="42" customFormat="1" ht="11.25" customHeight="1">
      <c r="A50" s="123" t="s">
        <v>419</v>
      </c>
      <c r="B50" s="586">
        <f>B51+B59</f>
        <v>2666892.01</v>
      </c>
      <c r="C50" s="585"/>
      <c r="D50" s="140"/>
      <c r="E50" s="141"/>
      <c r="F50" s="586">
        <f>F51+F59</f>
        <v>1850659.0000000002</v>
      </c>
      <c r="G50" s="585"/>
      <c r="H50" s="580">
        <f>H51+H59</f>
        <v>1162745.76</v>
      </c>
      <c r="I50" s="581"/>
    </row>
    <row r="51" spans="1:9" s="43" customFormat="1" ht="11.25" customHeight="1">
      <c r="A51" s="116" t="s">
        <v>420</v>
      </c>
      <c r="B51" s="586">
        <f>B52+B53+B54</f>
        <v>2654697.01</v>
      </c>
      <c r="C51" s="585"/>
      <c r="D51" s="140"/>
      <c r="E51" s="141"/>
      <c r="F51" s="586">
        <f>F52+F53+F54</f>
        <v>1837164.4700000002</v>
      </c>
      <c r="G51" s="585"/>
      <c r="H51" s="580">
        <f>H54+H53+H52</f>
        <v>1151885.76</v>
      </c>
      <c r="I51" s="581"/>
    </row>
    <row r="52" spans="1:9" s="42" customFormat="1" ht="11.25" customHeight="1">
      <c r="A52" s="124" t="s">
        <v>421</v>
      </c>
      <c r="B52" s="580">
        <v>1393514.32</v>
      </c>
      <c r="C52" s="581"/>
      <c r="D52" s="140"/>
      <c r="E52" s="141"/>
      <c r="F52" s="580">
        <v>1005754.51</v>
      </c>
      <c r="G52" s="581"/>
      <c r="H52" s="580">
        <v>609765.25</v>
      </c>
      <c r="I52" s="581"/>
    </row>
    <row r="53" spans="1:9" s="42" customFormat="1" ht="11.25" customHeight="1">
      <c r="A53" s="124" t="s">
        <v>422</v>
      </c>
      <c r="B53" s="580">
        <v>166446.69</v>
      </c>
      <c r="C53" s="581"/>
      <c r="D53" s="140"/>
      <c r="E53" s="141"/>
      <c r="F53" s="580">
        <v>122159.81</v>
      </c>
      <c r="G53" s="581"/>
      <c r="H53" s="580">
        <v>78653.89</v>
      </c>
      <c r="I53" s="581"/>
    </row>
    <row r="54" spans="1:9" s="42" customFormat="1" ht="11.25" customHeight="1">
      <c r="A54" s="124" t="s">
        <v>423</v>
      </c>
      <c r="B54" s="580">
        <v>1094736</v>
      </c>
      <c r="C54" s="581"/>
      <c r="D54" s="140"/>
      <c r="E54" s="141"/>
      <c r="F54" s="580">
        <v>709250.15</v>
      </c>
      <c r="G54" s="581"/>
      <c r="H54" s="580">
        <v>463466.62</v>
      </c>
      <c r="I54" s="581"/>
    </row>
    <row r="55" spans="1:9" s="42" customFormat="1" ht="11.25" customHeight="1">
      <c r="A55" s="116" t="s">
        <v>424</v>
      </c>
      <c r="B55" s="585"/>
      <c r="C55" s="585"/>
      <c r="D55" s="140"/>
      <c r="E55" s="141"/>
      <c r="F55" s="585"/>
      <c r="G55" s="585"/>
      <c r="H55" s="592"/>
      <c r="I55" s="495"/>
    </row>
    <row r="56" spans="1:9" s="42" customFormat="1" ht="11.25" customHeight="1">
      <c r="A56" s="124" t="s">
        <v>425</v>
      </c>
      <c r="B56" s="585"/>
      <c r="C56" s="585"/>
      <c r="D56" s="140"/>
      <c r="E56" s="141"/>
      <c r="F56" s="585"/>
      <c r="G56" s="585"/>
      <c r="H56" s="592"/>
      <c r="I56" s="495"/>
    </row>
    <row r="57" spans="1:9" s="42" customFormat="1" ht="11.25" customHeight="1">
      <c r="A57" s="124" t="s">
        <v>422</v>
      </c>
      <c r="B57" s="585"/>
      <c r="C57" s="585"/>
      <c r="D57" s="140"/>
      <c r="E57" s="141"/>
      <c r="F57" s="585"/>
      <c r="G57" s="585"/>
      <c r="H57" s="592"/>
      <c r="I57" s="495"/>
    </row>
    <row r="58" spans="1:9" s="42" customFormat="1" ht="11.25" customHeight="1">
      <c r="A58" s="124" t="s">
        <v>423</v>
      </c>
      <c r="B58" s="585"/>
      <c r="C58" s="585"/>
      <c r="D58" s="140"/>
      <c r="E58" s="141"/>
      <c r="F58" s="585"/>
      <c r="G58" s="585"/>
      <c r="H58" s="592"/>
      <c r="I58" s="495"/>
    </row>
    <row r="59" spans="1:9" s="42" customFormat="1" ht="11.25" customHeight="1">
      <c r="A59" s="122" t="s">
        <v>426</v>
      </c>
      <c r="B59" s="586">
        <f>B61</f>
        <v>12195</v>
      </c>
      <c r="C59" s="585"/>
      <c r="D59" s="140"/>
      <c r="E59" s="141"/>
      <c r="F59" s="586">
        <f>F61</f>
        <v>13494.53</v>
      </c>
      <c r="G59" s="585"/>
      <c r="H59" s="580">
        <f>H61</f>
        <v>10860</v>
      </c>
      <c r="I59" s="581"/>
    </row>
    <row r="60" spans="1:9" s="42" customFormat="1" ht="11.25" customHeight="1">
      <c r="A60" s="124" t="s">
        <v>427</v>
      </c>
      <c r="B60" s="585"/>
      <c r="C60" s="585"/>
      <c r="D60" s="140"/>
      <c r="E60" s="141"/>
      <c r="F60" s="585"/>
      <c r="G60" s="585"/>
      <c r="H60" s="592"/>
      <c r="I60" s="495"/>
    </row>
    <row r="61" spans="1:9" s="42" customFormat="1" ht="11.25" customHeight="1">
      <c r="A61" s="124" t="s">
        <v>428</v>
      </c>
      <c r="B61" s="580">
        <v>12195</v>
      </c>
      <c r="C61" s="581"/>
      <c r="D61" s="145"/>
      <c r="E61" s="146"/>
      <c r="F61" s="580">
        <v>13494.53</v>
      </c>
      <c r="G61" s="581"/>
      <c r="H61" s="580">
        <v>10860</v>
      </c>
      <c r="I61" s="581"/>
    </row>
    <row r="62" spans="1:9" s="42" customFormat="1" ht="11.25" customHeight="1">
      <c r="A62" s="173" t="s">
        <v>429</v>
      </c>
      <c r="B62" s="592">
        <f>B50</f>
        <v>2666892.01</v>
      </c>
      <c r="C62" s="593"/>
      <c r="D62" s="593"/>
      <c r="E62" s="594"/>
      <c r="F62" s="580">
        <f>F50</f>
        <v>1850659.0000000002</v>
      </c>
      <c r="G62" s="581"/>
      <c r="H62" s="580">
        <f>H50</f>
        <v>1162745.76</v>
      </c>
      <c r="I62" s="581"/>
    </row>
    <row r="63" spans="1:9" s="42" customFormat="1" ht="11.25" customHeight="1">
      <c r="A63" s="125"/>
      <c r="B63" s="126"/>
      <c r="C63" s="126"/>
      <c r="D63" s="127"/>
      <c r="E63" s="127"/>
      <c r="F63" s="127"/>
      <c r="G63" s="75"/>
      <c r="H63" s="75"/>
      <c r="I63" s="75"/>
    </row>
    <row r="64" spans="1:9" s="42" customFormat="1" ht="11.25" customHeight="1">
      <c r="A64" s="174" t="s">
        <v>173</v>
      </c>
      <c r="B64" s="614">
        <f>B44-B62</f>
        <v>10746176.85</v>
      </c>
      <c r="C64" s="515"/>
      <c r="D64" s="614"/>
      <c r="E64" s="515"/>
      <c r="F64" s="614">
        <f>F44-F62</f>
        <v>10823584.05</v>
      </c>
      <c r="G64" s="515"/>
      <c r="H64" s="580">
        <f>H44-H62</f>
        <v>6768242.65</v>
      </c>
      <c r="I64" s="581"/>
    </row>
    <row r="65" spans="1:9" s="42" customFormat="1" ht="11.25" customHeight="1">
      <c r="A65" s="128"/>
      <c r="B65" s="129"/>
      <c r="C65" s="129"/>
      <c r="D65" s="129"/>
      <c r="E65" s="129"/>
      <c r="F65" s="130"/>
      <c r="G65" s="130"/>
      <c r="H65" s="130"/>
      <c r="I65" s="130"/>
    </row>
    <row r="66" spans="1:9" s="42" customFormat="1" ht="11.25" customHeight="1">
      <c r="A66" s="175" t="s">
        <v>430</v>
      </c>
      <c r="B66" s="582"/>
      <c r="C66" s="583"/>
      <c r="D66" s="583"/>
      <c r="E66" s="588"/>
      <c r="F66" s="582"/>
      <c r="G66" s="588"/>
      <c r="H66" s="582"/>
      <c r="I66" s="583"/>
    </row>
    <row r="67" spans="1:9" s="42" customFormat="1" ht="11.25" customHeight="1">
      <c r="A67" s="176" t="s">
        <v>431</v>
      </c>
      <c r="B67" s="609"/>
      <c r="C67" s="610"/>
      <c r="D67" s="610"/>
      <c r="E67" s="610"/>
      <c r="F67" s="610"/>
      <c r="G67" s="610"/>
      <c r="H67" s="610"/>
      <c r="I67" s="610"/>
    </row>
    <row r="68" spans="1:9" s="42" customFormat="1" ht="11.25" customHeight="1">
      <c r="A68" s="128"/>
      <c r="B68" s="129"/>
      <c r="C68" s="129"/>
      <c r="D68" s="130"/>
      <c r="E68" s="130"/>
      <c r="F68" s="131"/>
      <c r="G68" s="131"/>
      <c r="H68" s="131"/>
      <c r="I68" s="131"/>
    </row>
    <row r="69" spans="1:9" s="42" customFormat="1" ht="11.25" customHeight="1">
      <c r="A69" s="175" t="s">
        <v>174</v>
      </c>
      <c r="B69" s="611">
        <f>B46</f>
        <v>2017</v>
      </c>
      <c r="C69" s="612"/>
      <c r="D69" s="612"/>
      <c r="E69" s="613"/>
      <c r="F69" s="611">
        <f>F46</f>
        <v>2016</v>
      </c>
      <c r="G69" s="613"/>
      <c r="H69" s="611">
        <f>H46</f>
        <v>2015</v>
      </c>
      <c r="I69" s="612"/>
    </row>
    <row r="70" spans="1:9" s="42" customFormat="1" ht="11.25" customHeight="1">
      <c r="A70" s="176" t="s">
        <v>431</v>
      </c>
      <c r="B70" s="615"/>
      <c r="C70" s="616"/>
      <c r="D70" s="177"/>
      <c r="E70" s="177"/>
      <c r="F70" s="615"/>
      <c r="G70" s="616"/>
      <c r="H70" s="615"/>
      <c r="I70" s="616"/>
    </row>
    <row r="71" spans="1:6" s="42" customFormat="1" ht="11.25" customHeight="1">
      <c r="A71" s="75"/>
      <c r="B71" s="132"/>
      <c r="C71" s="133"/>
      <c r="D71" s="133"/>
      <c r="E71" s="133"/>
      <c r="F71" s="133"/>
    </row>
    <row r="72" spans="1:9" s="42" customFormat="1" ht="11.25" customHeight="1">
      <c r="A72" s="175" t="s">
        <v>432</v>
      </c>
      <c r="B72" s="589">
        <f>B69</f>
        <v>2017</v>
      </c>
      <c r="C72" s="590"/>
      <c r="D72" s="590"/>
      <c r="E72" s="591"/>
      <c r="F72" s="589">
        <f>F69</f>
        <v>2016</v>
      </c>
      <c r="G72" s="591"/>
      <c r="H72" s="589">
        <f>H69</f>
        <v>2015</v>
      </c>
      <c r="I72" s="590"/>
    </row>
    <row r="73" spans="1:9" s="42" customFormat="1" ht="11.25" customHeight="1">
      <c r="A73" s="178" t="s">
        <v>433</v>
      </c>
      <c r="B73" s="580">
        <v>2979746.54</v>
      </c>
      <c r="C73" s="581"/>
      <c r="D73" s="180"/>
      <c r="E73" s="75"/>
      <c r="F73" s="580">
        <v>2208002.41</v>
      </c>
      <c r="G73" s="581"/>
      <c r="H73" s="580">
        <v>1385968.58</v>
      </c>
      <c r="I73" s="581"/>
    </row>
    <row r="74" spans="1:9" s="42" customFormat="1" ht="11.25" customHeight="1">
      <c r="A74" s="181" t="s">
        <v>434</v>
      </c>
      <c r="B74" s="584"/>
      <c r="C74" s="584"/>
      <c r="D74" s="180"/>
      <c r="E74" s="75"/>
      <c r="F74" s="584"/>
      <c r="G74" s="584"/>
      <c r="H74" s="584"/>
      <c r="I74" s="584"/>
    </row>
    <row r="75" spans="1:9" s="42" customFormat="1" ht="11.25" customHeight="1">
      <c r="A75" s="75" t="s">
        <v>435</v>
      </c>
      <c r="B75" s="584"/>
      <c r="C75" s="584"/>
      <c r="D75" s="180"/>
      <c r="E75" s="75"/>
      <c r="F75" s="584"/>
      <c r="G75" s="584"/>
      <c r="H75" s="584"/>
      <c r="I75" s="584"/>
    </row>
    <row r="76" spans="1:9" s="42" customFormat="1" ht="11.25" customHeight="1">
      <c r="A76" s="182" t="s">
        <v>436</v>
      </c>
      <c r="B76" s="584"/>
      <c r="C76" s="584"/>
      <c r="D76" s="183"/>
      <c r="E76" s="134"/>
      <c r="F76" s="584"/>
      <c r="G76" s="584"/>
      <c r="H76" s="584"/>
      <c r="I76" s="584"/>
    </row>
    <row r="77" spans="1:7" s="42" customFormat="1" ht="11.25" customHeight="1">
      <c r="A77" s="184"/>
      <c r="B77" s="184"/>
      <c r="C77" s="184"/>
      <c r="D77" s="184"/>
      <c r="E77" s="184"/>
      <c r="F77" s="184"/>
      <c r="G77" s="75"/>
    </row>
    <row r="78" spans="1:9" s="42" customFormat="1" ht="11.25" customHeight="1">
      <c r="A78" s="185" t="s">
        <v>175</v>
      </c>
      <c r="B78" s="582">
        <f>B72</f>
        <v>2017</v>
      </c>
      <c r="C78" s="583"/>
      <c r="D78" s="583"/>
      <c r="E78" s="588"/>
      <c r="F78" s="582">
        <f>F72</f>
        <v>2016</v>
      </c>
      <c r="G78" s="588"/>
      <c r="H78" s="582">
        <f>H72</f>
        <v>2015</v>
      </c>
      <c r="I78" s="583"/>
    </row>
    <row r="79" spans="1:9" s="42" customFormat="1" ht="11.25" customHeight="1">
      <c r="A79" s="186" t="s">
        <v>437</v>
      </c>
      <c r="B79" s="584"/>
      <c r="C79" s="584"/>
      <c r="D79" s="186"/>
      <c r="E79" s="186"/>
      <c r="F79" s="584"/>
      <c r="G79" s="584"/>
      <c r="H79" s="584"/>
      <c r="I79" s="584"/>
    </row>
    <row r="80" spans="1:9" s="42" customFormat="1" ht="11.25" customHeight="1">
      <c r="A80" s="187" t="s">
        <v>438</v>
      </c>
      <c r="B80" s="580">
        <v>51632291.27</v>
      </c>
      <c r="C80" s="581"/>
      <c r="D80" s="187"/>
      <c r="E80" s="187"/>
      <c r="F80" s="580">
        <v>40431415.54</v>
      </c>
      <c r="G80" s="581"/>
      <c r="H80" s="580">
        <v>30062530.37</v>
      </c>
      <c r="I80" s="581"/>
    </row>
    <row r="81" spans="1:9" s="42" customFormat="1" ht="11.25" customHeight="1">
      <c r="A81" s="188" t="s">
        <v>439</v>
      </c>
      <c r="B81" s="584"/>
      <c r="C81" s="584"/>
      <c r="D81" s="189"/>
      <c r="E81" s="189"/>
      <c r="F81" s="584"/>
      <c r="G81" s="584"/>
      <c r="H81" s="584"/>
      <c r="I81" s="584"/>
    </row>
    <row r="82" spans="1:9" s="42" customFormat="1" ht="11.25" customHeight="1">
      <c r="A82" s="135"/>
      <c r="B82" s="136"/>
      <c r="C82" s="136"/>
      <c r="D82" s="115"/>
      <c r="E82" s="115"/>
      <c r="F82" s="115"/>
      <c r="G82" s="75"/>
      <c r="H82" s="75"/>
      <c r="I82" s="75"/>
    </row>
    <row r="83" spans="1:9" s="42" customFormat="1" ht="11.25" customHeight="1" thickBot="1">
      <c r="A83" s="190"/>
      <c r="B83" s="191"/>
      <c r="C83" s="191"/>
      <c r="D83" s="192"/>
      <c r="E83" s="137"/>
      <c r="F83" s="192"/>
      <c r="G83" s="137"/>
      <c r="H83" s="192"/>
      <c r="I83" s="137"/>
    </row>
    <row r="84" spans="1:9" s="42" customFormat="1" ht="11.25" customHeight="1" thickBot="1">
      <c r="A84" s="601" t="s">
        <v>440</v>
      </c>
      <c r="B84" s="601"/>
      <c r="C84" s="601"/>
      <c r="D84" s="601"/>
      <c r="E84" s="601"/>
      <c r="F84" s="601"/>
      <c r="G84" s="601"/>
      <c r="H84" s="601"/>
      <c r="I84" s="601"/>
    </row>
    <row r="85" spans="1:9" s="42" customFormat="1" ht="11.25" customHeight="1">
      <c r="A85" s="602"/>
      <c r="B85" s="603"/>
      <c r="C85" s="603"/>
      <c r="D85" s="603"/>
      <c r="E85" s="603"/>
      <c r="F85" s="603"/>
      <c r="G85" s="603"/>
      <c r="H85" s="603"/>
      <c r="I85" s="603"/>
    </row>
    <row r="86" spans="1:9" s="42" customFormat="1" ht="11.25" customHeight="1">
      <c r="A86" s="193" t="s">
        <v>102</v>
      </c>
      <c r="B86" s="194" t="s">
        <v>441</v>
      </c>
      <c r="C86" s="582" t="s">
        <v>442</v>
      </c>
      <c r="D86" s="590"/>
      <c r="E86" s="591"/>
      <c r="F86" s="582" t="s">
        <v>443</v>
      </c>
      <c r="G86" s="588"/>
      <c r="H86" s="582" t="s">
        <v>444</v>
      </c>
      <c r="I86" s="583"/>
    </row>
    <row r="87" spans="1:9" s="42" customFormat="1" ht="11.25" customHeight="1">
      <c r="A87" s="425"/>
      <c r="B87" s="426"/>
      <c r="C87" s="426"/>
      <c r="D87" s="427"/>
      <c r="E87" s="428"/>
      <c r="F87" s="429"/>
      <c r="G87" s="429"/>
      <c r="H87" s="429"/>
      <c r="I87" s="429"/>
    </row>
    <row r="88" spans="1:9" s="42" customFormat="1" ht="11.25" customHeight="1">
      <c r="A88" s="425">
        <v>2016</v>
      </c>
      <c r="B88" s="430">
        <v>4782218.82</v>
      </c>
      <c r="C88" s="430">
        <v>1136912.3</v>
      </c>
      <c r="D88" s="427"/>
      <c r="E88" s="428"/>
      <c r="F88" s="579">
        <f>B88-C88</f>
        <v>3645306.5200000005</v>
      </c>
      <c r="G88" s="579"/>
      <c r="H88" s="579">
        <f>F88</f>
        <v>3645306.5200000005</v>
      </c>
      <c r="I88" s="579"/>
    </row>
    <row r="89" spans="1:9" s="42" customFormat="1" ht="11.25" customHeight="1">
      <c r="A89" s="425">
        <v>2017</v>
      </c>
      <c r="B89" s="430">
        <v>6924337.86</v>
      </c>
      <c r="C89" s="430">
        <v>1777164.15</v>
      </c>
      <c r="D89" s="427"/>
      <c r="E89" s="428"/>
      <c r="F89" s="579">
        <f>B89-C89</f>
        <v>5147173.710000001</v>
      </c>
      <c r="G89" s="579"/>
      <c r="H89" s="579">
        <f>F89+H88</f>
        <v>8792480.23</v>
      </c>
      <c r="I89" s="579"/>
    </row>
    <row r="90" spans="1:9" s="42" customFormat="1" ht="11.25" customHeight="1">
      <c r="A90" s="425">
        <v>2018</v>
      </c>
      <c r="B90" s="430">
        <v>7434845.88</v>
      </c>
      <c r="C90" s="430">
        <v>1876818.68</v>
      </c>
      <c r="D90" s="427"/>
      <c r="E90" s="428"/>
      <c r="F90" s="579">
        <f aca="true" t="shared" si="0" ref="F90:F153">B90-C90</f>
        <v>5558027.2</v>
      </c>
      <c r="G90" s="579"/>
      <c r="H90" s="579">
        <f aca="true" t="shared" si="1" ref="H90:H153">F90+H89</f>
        <v>14350507.43</v>
      </c>
      <c r="I90" s="579"/>
    </row>
    <row r="91" spans="1:9" s="42" customFormat="1" ht="11.25" customHeight="1">
      <c r="A91" s="425">
        <v>2019</v>
      </c>
      <c r="B91" s="430">
        <v>8001423.75</v>
      </c>
      <c r="C91" s="430">
        <v>2324503.95</v>
      </c>
      <c r="D91" s="427"/>
      <c r="E91" s="428"/>
      <c r="F91" s="579">
        <f t="shared" si="0"/>
        <v>5676919.8</v>
      </c>
      <c r="G91" s="579"/>
      <c r="H91" s="579">
        <f t="shared" si="1"/>
        <v>20027427.23</v>
      </c>
      <c r="I91" s="579"/>
    </row>
    <row r="92" spans="1:9" s="42" customFormat="1" ht="11.25" customHeight="1">
      <c r="A92" s="425">
        <v>2020</v>
      </c>
      <c r="B92" s="430">
        <v>8625798.42</v>
      </c>
      <c r="C92" s="430">
        <v>2710097.23</v>
      </c>
      <c r="D92" s="427"/>
      <c r="E92" s="428"/>
      <c r="F92" s="579">
        <f t="shared" si="0"/>
        <v>5915701.1899999995</v>
      </c>
      <c r="G92" s="579"/>
      <c r="H92" s="579">
        <f t="shared" si="1"/>
        <v>25943128.42</v>
      </c>
      <c r="I92" s="579"/>
    </row>
    <row r="93" spans="1:9" s="42" customFormat="1" ht="11.25" customHeight="1">
      <c r="A93" s="425">
        <v>2021</v>
      </c>
      <c r="B93" s="430">
        <v>8972461.35</v>
      </c>
      <c r="C93" s="430">
        <v>3129717.47</v>
      </c>
      <c r="D93" s="427"/>
      <c r="E93" s="428"/>
      <c r="F93" s="579">
        <f t="shared" si="0"/>
        <v>5842743.879999999</v>
      </c>
      <c r="G93" s="579"/>
      <c r="H93" s="579">
        <f t="shared" si="1"/>
        <v>31785872.3</v>
      </c>
      <c r="I93" s="579"/>
    </row>
    <row r="94" spans="1:9" s="42" customFormat="1" ht="11.25" customHeight="1">
      <c r="A94" s="425">
        <v>2022</v>
      </c>
      <c r="B94" s="430">
        <v>9267951.75</v>
      </c>
      <c r="C94" s="430">
        <v>3517499.76</v>
      </c>
      <c r="D94" s="427"/>
      <c r="E94" s="428"/>
      <c r="F94" s="579">
        <f t="shared" si="0"/>
        <v>5750451.99</v>
      </c>
      <c r="G94" s="579"/>
      <c r="H94" s="579">
        <f t="shared" si="1"/>
        <v>37536324.29</v>
      </c>
      <c r="I94" s="579"/>
    </row>
    <row r="95" spans="1:9" s="42" customFormat="1" ht="11.25" customHeight="1">
      <c r="A95" s="425">
        <v>2023</v>
      </c>
      <c r="B95" s="430">
        <v>9487970.46</v>
      </c>
      <c r="C95" s="430">
        <v>4098861.01</v>
      </c>
      <c r="D95" s="427"/>
      <c r="E95" s="428"/>
      <c r="F95" s="579">
        <f t="shared" si="0"/>
        <v>5389109.450000001</v>
      </c>
      <c r="G95" s="579"/>
      <c r="H95" s="579">
        <f t="shared" si="1"/>
        <v>42925433.74</v>
      </c>
      <c r="I95" s="579"/>
    </row>
    <row r="96" spans="1:9" s="42" customFormat="1" ht="11.25" customHeight="1">
      <c r="A96" s="425">
        <v>2024</v>
      </c>
      <c r="B96" s="430">
        <v>9818413.2</v>
      </c>
      <c r="C96" s="430">
        <v>5069127.45</v>
      </c>
      <c r="D96" s="427"/>
      <c r="E96" s="428"/>
      <c r="F96" s="579">
        <f t="shared" si="0"/>
        <v>4749285.749999999</v>
      </c>
      <c r="G96" s="579"/>
      <c r="H96" s="579">
        <f t="shared" si="1"/>
        <v>47674719.49</v>
      </c>
      <c r="I96" s="579"/>
    </row>
    <row r="97" spans="1:9" s="42" customFormat="1" ht="11.25" customHeight="1">
      <c r="A97" s="425">
        <v>2025</v>
      </c>
      <c r="B97" s="430">
        <v>10064794.94</v>
      </c>
      <c r="C97" s="430">
        <v>5480797.63</v>
      </c>
      <c r="D97" s="427"/>
      <c r="E97" s="428"/>
      <c r="F97" s="579">
        <f t="shared" si="0"/>
        <v>4583997.31</v>
      </c>
      <c r="G97" s="579"/>
      <c r="H97" s="579">
        <f t="shared" si="1"/>
        <v>52258716.800000004</v>
      </c>
      <c r="I97" s="579"/>
    </row>
    <row r="98" spans="1:9" s="42" customFormat="1" ht="11.25" customHeight="1">
      <c r="A98" s="425">
        <v>2026</v>
      </c>
      <c r="B98" s="430">
        <v>10359216.94</v>
      </c>
      <c r="C98" s="430">
        <v>5992452.86</v>
      </c>
      <c r="D98" s="427"/>
      <c r="E98" s="428"/>
      <c r="F98" s="579">
        <f t="shared" si="0"/>
        <v>4366764.079999999</v>
      </c>
      <c r="G98" s="579"/>
      <c r="H98" s="579">
        <f t="shared" si="1"/>
        <v>56625480.88</v>
      </c>
      <c r="I98" s="579"/>
    </row>
    <row r="99" spans="1:9" s="42" customFormat="1" ht="11.25" customHeight="1">
      <c r="A99" s="425">
        <v>2027</v>
      </c>
      <c r="B99" s="430">
        <v>10649888</v>
      </c>
      <c r="C99" s="430">
        <v>6235981.45</v>
      </c>
      <c r="D99" s="427"/>
      <c r="E99" s="428"/>
      <c r="F99" s="579">
        <f t="shared" si="0"/>
        <v>4413906.55</v>
      </c>
      <c r="G99" s="579"/>
      <c r="H99" s="579">
        <f t="shared" si="1"/>
        <v>61039387.43</v>
      </c>
      <c r="I99" s="579"/>
    </row>
    <row r="100" spans="1:9" s="42" customFormat="1" ht="11.25" customHeight="1">
      <c r="A100" s="425">
        <v>2028</v>
      </c>
      <c r="B100" s="430">
        <v>10886722.81</v>
      </c>
      <c r="C100" s="430">
        <v>6361791.45</v>
      </c>
      <c r="D100" s="427"/>
      <c r="E100" s="428"/>
      <c r="F100" s="579">
        <f t="shared" si="0"/>
        <v>4524931.36</v>
      </c>
      <c r="G100" s="579"/>
      <c r="H100" s="579">
        <f t="shared" si="1"/>
        <v>65564318.79</v>
      </c>
      <c r="I100" s="579"/>
    </row>
    <row r="101" spans="1:9" s="42" customFormat="1" ht="11.25" customHeight="1">
      <c r="A101" s="425">
        <v>2029</v>
      </c>
      <c r="B101" s="430">
        <v>11126429.29</v>
      </c>
      <c r="C101" s="430">
        <v>6722440.43</v>
      </c>
      <c r="D101" s="427"/>
      <c r="E101" s="428"/>
      <c r="F101" s="579">
        <f t="shared" si="0"/>
        <v>4403988.859999999</v>
      </c>
      <c r="G101" s="579"/>
      <c r="H101" s="579">
        <f t="shared" si="1"/>
        <v>69968307.65</v>
      </c>
      <c r="I101" s="579"/>
    </row>
    <row r="102" spans="1:9" s="42" customFormat="1" ht="11.25" customHeight="1">
      <c r="A102" s="425">
        <v>2030</v>
      </c>
      <c r="B102" s="430">
        <v>11339162.33</v>
      </c>
      <c r="C102" s="430">
        <v>7120153.14</v>
      </c>
      <c r="D102" s="427"/>
      <c r="E102" s="428"/>
      <c r="F102" s="579">
        <f t="shared" si="0"/>
        <v>4219009.19</v>
      </c>
      <c r="G102" s="579"/>
      <c r="H102" s="579">
        <f t="shared" si="1"/>
        <v>74187316.84</v>
      </c>
      <c r="I102" s="579"/>
    </row>
    <row r="103" spans="1:9" s="42" customFormat="1" ht="11.25" customHeight="1">
      <c r="A103" s="425">
        <v>2031</v>
      </c>
      <c r="B103" s="430">
        <v>11541091.88</v>
      </c>
      <c r="C103" s="430">
        <v>7614124.31</v>
      </c>
      <c r="D103" s="427"/>
      <c r="E103" s="428"/>
      <c r="F103" s="579">
        <f t="shared" si="0"/>
        <v>3926967.570000001</v>
      </c>
      <c r="G103" s="579"/>
      <c r="H103" s="579">
        <f t="shared" si="1"/>
        <v>78114284.41000001</v>
      </c>
      <c r="I103" s="579"/>
    </row>
    <row r="104" spans="1:9" s="42" customFormat="1" ht="11.25" customHeight="1">
      <c r="A104" s="425">
        <v>2032</v>
      </c>
      <c r="B104" s="430">
        <v>11683510.49</v>
      </c>
      <c r="C104" s="430">
        <v>8112409.56</v>
      </c>
      <c r="D104" s="427"/>
      <c r="E104" s="428"/>
      <c r="F104" s="579">
        <f t="shared" si="0"/>
        <v>3571100.9300000006</v>
      </c>
      <c r="G104" s="579"/>
      <c r="H104" s="579">
        <f t="shared" si="1"/>
        <v>81685385.34000002</v>
      </c>
      <c r="I104" s="579"/>
    </row>
    <row r="105" spans="1:9" s="42" customFormat="1" ht="11.25" customHeight="1">
      <c r="A105" s="425">
        <v>2033</v>
      </c>
      <c r="B105" s="430">
        <v>11771551.21</v>
      </c>
      <c r="C105" s="430">
        <v>8785426.12</v>
      </c>
      <c r="D105" s="427"/>
      <c r="E105" s="428"/>
      <c r="F105" s="579">
        <f t="shared" si="0"/>
        <v>2986125.0900000017</v>
      </c>
      <c r="G105" s="579"/>
      <c r="H105" s="579">
        <f t="shared" si="1"/>
        <v>84671510.43000002</v>
      </c>
      <c r="I105" s="579"/>
    </row>
    <row r="106" spans="1:9" s="42" customFormat="1" ht="11.25" customHeight="1">
      <c r="A106" s="425">
        <v>2034</v>
      </c>
      <c r="B106" s="430">
        <v>11884309.58</v>
      </c>
      <c r="C106" s="430">
        <v>9641853.29</v>
      </c>
      <c r="D106" s="427"/>
      <c r="E106" s="428"/>
      <c r="F106" s="579">
        <f t="shared" si="0"/>
        <v>2242456.290000001</v>
      </c>
      <c r="G106" s="579"/>
      <c r="H106" s="579">
        <f t="shared" si="1"/>
        <v>86913966.72000003</v>
      </c>
      <c r="I106" s="579"/>
    </row>
    <row r="107" spans="1:9" s="42" customFormat="1" ht="11.25" customHeight="1">
      <c r="A107" s="425">
        <v>2035</v>
      </c>
      <c r="B107" s="430">
        <v>11981554.55</v>
      </c>
      <c r="C107" s="430">
        <v>10237232.2</v>
      </c>
      <c r="D107" s="427"/>
      <c r="E107" s="428"/>
      <c r="F107" s="579">
        <f t="shared" si="0"/>
        <v>1744322.3500000015</v>
      </c>
      <c r="G107" s="579"/>
      <c r="H107" s="579">
        <f t="shared" si="1"/>
        <v>88658289.07000002</v>
      </c>
      <c r="I107" s="579"/>
    </row>
    <row r="108" spans="1:9" s="42" customFormat="1" ht="11.25" customHeight="1">
      <c r="A108" s="425">
        <v>2036</v>
      </c>
      <c r="B108" s="430">
        <v>11992635</v>
      </c>
      <c r="C108" s="430">
        <v>10613967.11</v>
      </c>
      <c r="D108" s="427"/>
      <c r="E108" s="428"/>
      <c r="F108" s="579">
        <f t="shared" si="0"/>
        <v>1378667.8900000006</v>
      </c>
      <c r="G108" s="579"/>
      <c r="H108" s="579">
        <f t="shared" si="1"/>
        <v>90036956.96000002</v>
      </c>
      <c r="I108" s="579"/>
    </row>
    <row r="109" spans="1:9" s="42" customFormat="1" ht="11.25" customHeight="1">
      <c r="A109" s="425">
        <v>2037</v>
      </c>
      <c r="B109" s="430">
        <v>11992038.75</v>
      </c>
      <c r="C109" s="430">
        <v>11182058.81</v>
      </c>
      <c r="D109" s="427"/>
      <c r="E109" s="428"/>
      <c r="F109" s="579">
        <f t="shared" si="0"/>
        <v>809979.9399999995</v>
      </c>
      <c r="G109" s="579"/>
      <c r="H109" s="579">
        <f t="shared" si="1"/>
        <v>90846936.90000002</v>
      </c>
      <c r="I109" s="579"/>
    </row>
    <row r="110" spans="1:9" s="42" customFormat="1" ht="11.25" customHeight="1">
      <c r="A110" s="425">
        <v>2038</v>
      </c>
      <c r="B110" s="430">
        <v>12075999.35</v>
      </c>
      <c r="C110" s="430">
        <v>11761488.65</v>
      </c>
      <c r="D110" s="427"/>
      <c r="E110" s="428"/>
      <c r="F110" s="579">
        <f t="shared" si="0"/>
        <v>314510.69999999925</v>
      </c>
      <c r="G110" s="579"/>
      <c r="H110" s="579">
        <f t="shared" si="1"/>
        <v>91161447.60000002</v>
      </c>
      <c r="I110" s="579"/>
    </row>
    <row r="111" spans="1:9" s="42" customFormat="1" ht="11.25" customHeight="1">
      <c r="A111" s="425">
        <v>2039</v>
      </c>
      <c r="B111" s="430">
        <v>12034731.21</v>
      </c>
      <c r="C111" s="430">
        <v>11740184.57</v>
      </c>
      <c r="D111" s="427"/>
      <c r="E111" s="428"/>
      <c r="F111" s="579">
        <f t="shared" si="0"/>
        <v>294546.6400000006</v>
      </c>
      <c r="G111" s="579"/>
      <c r="H111" s="579">
        <f t="shared" si="1"/>
        <v>91455994.24000002</v>
      </c>
      <c r="I111" s="579"/>
    </row>
    <row r="112" spans="1:9" s="42" customFormat="1" ht="11.25" customHeight="1">
      <c r="A112" s="425">
        <v>2040</v>
      </c>
      <c r="B112" s="430">
        <v>12008663.68</v>
      </c>
      <c r="C112" s="430">
        <v>12028997.92</v>
      </c>
      <c r="D112" s="427"/>
      <c r="E112" s="428"/>
      <c r="F112" s="579">
        <f t="shared" si="0"/>
        <v>-20334.240000000224</v>
      </c>
      <c r="G112" s="579"/>
      <c r="H112" s="579">
        <f t="shared" si="1"/>
        <v>91435660.00000003</v>
      </c>
      <c r="I112" s="579"/>
    </row>
    <row r="113" spans="1:9" s="42" customFormat="1" ht="11.25" customHeight="1">
      <c r="A113" s="425">
        <v>2041</v>
      </c>
      <c r="B113" s="430">
        <v>11946156.97</v>
      </c>
      <c r="C113" s="430">
        <v>12284144.79</v>
      </c>
      <c r="D113" s="427"/>
      <c r="E113" s="428"/>
      <c r="F113" s="579">
        <f t="shared" si="0"/>
        <v>-337987.81999999844</v>
      </c>
      <c r="G113" s="579"/>
      <c r="H113" s="579">
        <f t="shared" si="1"/>
        <v>91097672.18000004</v>
      </c>
      <c r="I113" s="579"/>
    </row>
    <row r="114" spans="1:9" s="42" customFormat="1" ht="11.25" customHeight="1">
      <c r="A114" s="425">
        <v>2042</v>
      </c>
      <c r="B114" s="430">
        <v>11947076.35</v>
      </c>
      <c r="C114" s="430">
        <v>12611162.86</v>
      </c>
      <c r="D114" s="427"/>
      <c r="E114" s="428"/>
      <c r="F114" s="579">
        <f t="shared" si="0"/>
        <v>-664086.5099999998</v>
      </c>
      <c r="G114" s="579"/>
      <c r="H114" s="579">
        <f t="shared" si="1"/>
        <v>90433585.67000003</v>
      </c>
      <c r="I114" s="579"/>
    </row>
    <row r="115" spans="1:9" s="42" customFormat="1" ht="11.25" customHeight="1">
      <c r="A115" s="425">
        <v>2043</v>
      </c>
      <c r="B115" s="430">
        <v>11890874.77</v>
      </c>
      <c r="C115" s="430">
        <v>12535683.17</v>
      </c>
      <c r="D115" s="427"/>
      <c r="E115" s="428"/>
      <c r="F115" s="579">
        <f t="shared" si="0"/>
        <v>-644808.4000000004</v>
      </c>
      <c r="G115" s="579"/>
      <c r="H115" s="579">
        <f t="shared" si="1"/>
        <v>89788777.27000003</v>
      </c>
      <c r="I115" s="579"/>
    </row>
    <row r="116" spans="1:9" s="42" customFormat="1" ht="11.25" customHeight="1">
      <c r="A116" s="425">
        <v>2044</v>
      </c>
      <c r="B116" s="430">
        <v>11830519.47</v>
      </c>
      <c r="C116" s="430">
        <v>12535219.66</v>
      </c>
      <c r="D116" s="427"/>
      <c r="E116" s="428"/>
      <c r="F116" s="579">
        <f t="shared" si="0"/>
        <v>-704700.1899999995</v>
      </c>
      <c r="G116" s="579"/>
      <c r="H116" s="579">
        <f t="shared" si="1"/>
        <v>89084077.08000003</v>
      </c>
      <c r="I116" s="579"/>
    </row>
    <row r="117" spans="1:9" s="42" customFormat="1" ht="11.25" customHeight="1">
      <c r="A117" s="425">
        <v>2045</v>
      </c>
      <c r="B117" s="430">
        <v>7874799.8</v>
      </c>
      <c r="C117" s="430">
        <v>12567028.82</v>
      </c>
      <c r="D117" s="427"/>
      <c r="E117" s="428"/>
      <c r="F117" s="579">
        <f t="shared" si="0"/>
        <v>-4692229.0200000005</v>
      </c>
      <c r="G117" s="579"/>
      <c r="H117" s="579">
        <f t="shared" si="1"/>
        <v>84391848.06000003</v>
      </c>
      <c r="I117" s="579"/>
    </row>
    <row r="118" spans="1:9" s="42" customFormat="1" ht="11.25" customHeight="1">
      <c r="A118" s="425">
        <v>2046</v>
      </c>
      <c r="B118" s="430">
        <v>7551608.59</v>
      </c>
      <c r="C118" s="430">
        <v>12435291.82</v>
      </c>
      <c r="D118" s="427"/>
      <c r="E118" s="428"/>
      <c r="F118" s="579">
        <f t="shared" si="0"/>
        <v>-4883683.23</v>
      </c>
      <c r="G118" s="579"/>
      <c r="H118" s="579">
        <f t="shared" si="1"/>
        <v>79508164.83000003</v>
      </c>
      <c r="I118" s="579"/>
    </row>
    <row r="119" spans="1:9" s="42" customFormat="1" ht="11.25" customHeight="1">
      <c r="A119" s="425">
        <v>2047</v>
      </c>
      <c r="B119" s="430">
        <v>7216645.36</v>
      </c>
      <c r="C119" s="430">
        <v>12244069.11</v>
      </c>
      <c r="D119" s="427"/>
      <c r="E119" s="428"/>
      <c r="F119" s="579">
        <f t="shared" si="0"/>
        <v>-5027423.749999999</v>
      </c>
      <c r="G119" s="579"/>
      <c r="H119" s="579">
        <f t="shared" si="1"/>
        <v>74480741.08000003</v>
      </c>
      <c r="I119" s="579"/>
    </row>
    <row r="120" spans="1:9" s="42" customFormat="1" ht="11.25" customHeight="1">
      <c r="A120" s="425">
        <v>2048</v>
      </c>
      <c r="B120" s="430">
        <v>6878132.37</v>
      </c>
      <c r="C120" s="430">
        <v>12026321.83</v>
      </c>
      <c r="D120" s="427"/>
      <c r="E120" s="428"/>
      <c r="F120" s="579">
        <f t="shared" si="0"/>
        <v>-5148189.46</v>
      </c>
      <c r="G120" s="579"/>
      <c r="H120" s="579">
        <f t="shared" si="1"/>
        <v>69332551.62000003</v>
      </c>
      <c r="I120" s="579"/>
    </row>
    <row r="121" spans="1:9" s="42" customFormat="1" ht="11.25" customHeight="1">
      <c r="A121" s="425">
        <v>2049</v>
      </c>
      <c r="B121" s="430">
        <v>6527282.19</v>
      </c>
      <c r="C121" s="430">
        <v>11760568.19</v>
      </c>
      <c r="D121" s="427"/>
      <c r="E121" s="428"/>
      <c r="F121" s="579">
        <f t="shared" si="0"/>
        <v>-5233285.999999999</v>
      </c>
      <c r="G121" s="579"/>
      <c r="H121" s="579">
        <f t="shared" si="1"/>
        <v>64099265.620000035</v>
      </c>
      <c r="I121" s="579"/>
    </row>
    <row r="122" spans="1:9" s="42" customFormat="1" ht="11.25" customHeight="1">
      <c r="A122" s="425">
        <v>2050</v>
      </c>
      <c r="B122" s="430">
        <v>6193942.01</v>
      </c>
      <c r="C122" s="430">
        <v>11500010.32</v>
      </c>
      <c r="D122" s="427"/>
      <c r="E122" s="428"/>
      <c r="F122" s="579">
        <f t="shared" si="0"/>
        <v>-5306068.3100000005</v>
      </c>
      <c r="G122" s="579"/>
      <c r="H122" s="579">
        <f t="shared" si="1"/>
        <v>58793197.31000003</v>
      </c>
      <c r="I122" s="579"/>
    </row>
    <row r="123" spans="1:9" s="42" customFormat="1" ht="11.25" customHeight="1">
      <c r="A123" s="425">
        <v>2051</v>
      </c>
      <c r="B123" s="430">
        <v>5858085.64</v>
      </c>
      <c r="C123" s="430">
        <v>11120298.82</v>
      </c>
      <c r="D123" s="427"/>
      <c r="E123" s="428"/>
      <c r="F123" s="579">
        <f t="shared" si="0"/>
        <v>-5262213.180000001</v>
      </c>
      <c r="G123" s="579"/>
      <c r="H123" s="579">
        <f t="shared" si="1"/>
        <v>53530984.13000003</v>
      </c>
      <c r="I123" s="579"/>
    </row>
    <row r="124" spans="1:9" s="42" customFormat="1" ht="11.25" customHeight="1">
      <c r="A124" s="425">
        <v>2052</v>
      </c>
      <c r="B124" s="430">
        <v>5516136.25</v>
      </c>
      <c r="C124" s="430">
        <v>10691787.62</v>
      </c>
      <c r="D124" s="427"/>
      <c r="E124" s="428"/>
      <c r="F124" s="579">
        <f t="shared" si="0"/>
        <v>-5175651.369999999</v>
      </c>
      <c r="G124" s="579"/>
      <c r="H124" s="579">
        <f t="shared" si="1"/>
        <v>48355332.760000035</v>
      </c>
      <c r="I124" s="579"/>
    </row>
    <row r="125" spans="1:9" s="42" customFormat="1" ht="11.25" customHeight="1">
      <c r="A125" s="425">
        <v>2053</v>
      </c>
      <c r="B125" s="430">
        <v>5178107.11</v>
      </c>
      <c r="C125" s="430">
        <v>10283376.52</v>
      </c>
      <c r="D125" s="427"/>
      <c r="E125" s="428"/>
      <c r="F125" s="579">
        <f t="shared" si="0"/>
        <v>-5105269.409999999</v>
      </c>
      <c r="G125" s="579"/>
      <c r="H125" s="579">
        <f t="shared" si="1"/>
        <v>43250063.35000004</v>
      </c>
      <c r="I125" s="579"/>
    </row>
    <row r="126" spans="1:9" s="42" customFormat="1" ht="11.25" customHeight="1">
      <c r="A126" s="425">
        <v>2054</v>
      </c>
      <c r="B126" s="430">
        <v>4853188.28</v>
      </c>
      <c r="C126" s="430">
        <v>9878970.8</v>
      </c>
      <c r="D126" s="427"/>
      <c r="E126" s="428"/>
      <c r="F126" s="579">
        <f t="shared" si="0"/>
        <v>-5025782.5200000005</v>
      </c>
      <c r="G126" s="579"/>
      <c r="H126" s="579">
        <f t="shared" si="1"/>
        <v>38224280.830000035</v>
      </c>
      <c r="I126" s="579"/>
    </row>
    <row r="127" spans="1:9" s="42" customFormat="1" ht="11.25" customHeight="1">
      <c r="A127" s="425">
        <v>2055</v>
      </c>
      <c r="B127" s="430">
        <v>4530771.8</v>
      </c>
      <c r="C127" s="430">
        <v>9425285.36</v>
      </c>
      <c r="D127" s="427"/>
      <c r="E127" s="428"/>
      <c r="F127" s="579">
        <f t="shared" si="0"/>
        <v>-4894513.56</v>
      </c>
      <c r="G127" s="579"/>
      <c r="H127" s="579">
        <f t="shared" si="1"/>
        <v>33329767.270000037</v>
      </c>
      <c r="I127" s="579"/>
    </row>
    <row r="128" spans="1:9" s="42" customFormat="1" ht="11.25" customHeight="1">
      <c r="A128" s="425">
        <v>2056</v>
      </c>
      <c r="B128" s="430">
        <v>4215964.01</v>
      </c>
      <c r="C128" s="430">
        <v>8965785.8</v>
      </c>
      <c r="D128" s="427"/>
      <c r="E128" s="428"/>
      <c r="F128" s="579">
        <f t="shared" si="0"/>
        <v>-4749821.790000001</v>
      </c>
      <c r="G128" s="579"/>
      <c r="H128" s="579">
        <f t="shared" si="1"/>
        <v>28579945.480000034</v>
      </c>
      <c r="I128" s="579"/>
    </row>
    <row r="129" spans="1:9" s="42" customFormat="1" ht="11.25" customHeight="1">
      <c r="A129" s="425">
        <v>2057</v>
      </c>
      <c r="B129" s="430">
        <v>3909647.87</v>
      </c>
      <c r="C129" s="430">
        <v>8502159.17</v>
      </c>
      <c r="D129" s="427"/>
      <c r="E129" s="428"/>
      <c r="F129" s="579">
        <f t="shared" si="0"/>
        <v>-4592511.3</v>
      </c>
      <c r="G129" s="579"/>
      <c r="H129" s="579">
        <f t="shared" si="1"/>
        <v>23987434.180000033</v>
      </c>
      <c r="I129" s="579"/>
    </row>
    <row r="130" spans="1:9" s="42" customFormat="1" ht="11.25" customHeight="1">
      <c r="A130" s="425">
        <v>2058</v>
      </c>
      <c r="B130" s="430">
        <v>3612666.34</v>
      </c>
      <c r="C130" s="430">
        <v>8036271.06</v>
      </c>
      <c r="D130" s="427"/>
      <c r="E130" s="428"/>
      <c r="F130" s="579">
        <f t="shared" si="0"/>
        <v>-4423604.72</v>
      </c>
      <c r="G130" s="579"/>
      <c r="H130" s="579">
        <f t="shared" si="1"/>
        <v>19563829.460000034</v>
      </c>
      <c r="I130" s="579"/>
    </row>
    <row r="131" spans="1:9" s="42" customFormat="1" ht="11.25" customHeight="1">
      <c r="A131" s="425">
        <v>2059</v>
      </c>
      <c r="B131" s="430">
        <v>3325805.58</v>
      </c>
      <c r="C131" s="430">
        <v>7570086.62</v>
      </c>
      <c r="D131" s="427"/>
      <c r="E131" s="428"/>
      <c r="F131" s="579">
        <f t="shared" si="0"/>
        <v>-4244281.04</v>
      </c>
      <c r="G131" s="579"/>
      <c r="H131" s="579">
        <f t="shared" si="1"/>
        <v>15319548.420000035</v>
      </c>
      <c r="I131" s="579"/>
    </row>
    <row r="132" spans="1:9" s="42" customFormat="1" ht="11.25" customHeight="1">
      <c r="A132" s="425">
        <v>2060</v>
      </c>
      <c r="B132" s="430">
        <v>3049782.16</v>
      </c>
      <c r="C132" s="430">
        <v>7105596.29</v>
      </c>
      <c r="D132" s="427"/>
      <c r="E132" s="428"/>
      <c r="F132" s="579">
        <f t="shared" si="0"/>
        <v>-4055814.13</v>
      </c>
      <c r="G132" s="579"/>
      <c r="H132" s="579">
        <f t="shared" si="1"/>
        <v>11263734.290000036</v>
      </c>
      <c r="I132" s="579"/>
    </row>
    <row r="133" spans="1:9" s="42" customFormat="1" ht="11.25" customHeight="1">
      <c r="A133" s="425">
        <v>2061</v>
      </c>
      <c r="B133" s="430">
        <v>2785242.13</v>
      </c>
      <c r="C133" s="430">
        <v>6644918.48</v>
      </c>
      <c r="D133" s="427"/>
      <c r="E133" s="428"/>
      <c r="F133" s="579">
        <f t="shared" si="0"/>
        <v>-3859676.3500000006</v>
      </c>
      <c r="G133" s="579"/>
      <c r="H133" s="579">
        <f t="shared" si="1"/>
        <v>7404057.940000036</v>
      </c>
      <c r="I133" s="579"/>
    </row>
    <row r="134" spans="1:9" s="42" customFormat="1" ht="11.25" customHeight="1">
      <c r="A134" s="425">
        <v>2062</v>
      </c>
      <c r="B134" s="430">
        <v>2532734.05</v>
      </c>
      <c r="C134" s="430">
        <v>6189972.86</v>
      </c>
      <c r="D134" s="427"/>
      <c r="E134" s="428"/>
      <c r="F134" s="579">
        <f t="shared" si="0"/>
        <v>-3657238.8100000005</v>
      </c>
      <c r="G134" s="579"/>
      <c r="H134" s="579">
        <f t="shared" si="1"/>
        <v>3746819.1300000353</v>
      </c>
      <c r="I134" s="579"/>
    </row>
    <row r="135" spans="1:9" s="42" customFormat="1" ht="11.25" customHeight="1">
      <c r="A135" s="425">
        <v>2063</v>
      </c>
      <c r="B135" s="430">
        <v>2292722.6</v>
      </c>
      <c r="C135" s="430">
        <v>5742644.16</v>
      </c>
      <c r="D135" s="427"/>
      <c r="E135" s="428"/>
      <c r="F135" s="579">
        <f t="shared" si="0"/>
        <v>-3449921.56</v>
      </c>
      <c r="G135" s="579"/>
      <c r="H135" s="579">
        <f t="shared" si="1"/>
        <v>296897.5700000352</v>
      </c>
      <c r="I135" s="579"/>
    </row>
    <row r="136" spans="1:9" s="42" customFormat="1" ht="11.25" customHeight="1">
      <c r="A136" s="425">
        <v>2064</v>
      </c>
      <c r="B136" s="430">
        <v>2065577.8</v>
      </c>
      <c r="C136" s="430">
        <v>5304611.28</v>
      </c>
      <c r="D136" s="427"/>
      <c r="E136" s="428"/>
      <c r="F136" s="579">
        <f t="shared" si="0"/>
        <v>-3239033.4800000004</v>
      </c>
      <c r="G136" s="579"/>
      <c r="H136" s="579">
        <f t="shared" si="1"/>
        <v>-2942135.909999965</v>
      </c>
      <c r="I136" s="579"/>
    </row>
    <row r="137" spans="1:9" s="42" customFormat="1" ht="11.25" customHeight="1">
      <c r="A137" s="425">
        <v>2065</v>
      </c>
      <c r="B137" s="430">
        <v>1851591.86</v>
      </c>
      <c r="C137" s="430">
        <v>4877569.44</v>
      </c>
      <c r="D137" s="427"/>
      <c r="E137" s="428"/>
      <c r="F137" s="579">
        <f t="shared" si="0"/>
        <v>-3025977.58</v>
      </c>
      <c r="G137" s="579"/>
      <c r="H137" s="579">
        <f t="shared" si="1"/>
        <v>-5968113.489999965</v>
      </c>
      <c r="I137" s="579"/>
    </row>
    <row r="138" spans="1:9" s="42" customFormat="1" ht="11.25" customHeight="1">
      <c r="A138" s="425">
        <v>2066</v>
      </c>
      <c r="B138" s="430">
        <v>1650970.67</v>
      </c>
      <c r="C138" s="430">
        <v>4463166.35</v>
      </c>
      <c r="D138" s="427"/>
      <c r="E138" s="428"/>
      <c r="F138" s="579">
        <f t="shared" si="0"/>
        <v>-2812195.6799999997</v>
      </c>
      <c r="G138" s="579"/>
      <c r="H138" s="579">
        <f t="shared" si="1"/>
        <v>-8780309.169999965</v>
      </c>
      <c r="I138" s="579"/>
    </row>
    <row r="139" spans="1:9" s="42" customFormat="1" ht="11.25" customHeight="1">
      <c r="A139" s="425">
        <v>2067</v>
      </c>
      <c r="B139" s="430">
        <v>1463838.05</v>
      </c>
      <c r="C139" s="430">
        <v>4063147.44</v>
      </c>
      <c r="D139" s="427"/>
      <c r="E139" s="428"/>
      <c r="F139" s="579">
        <f t="shared" si="0"/>
        <v>-2599309.3899999997</v>
      </c>
      <c r="G139" s="579"/>
      <c r="H139" s="579">
        <f t="shared" si="1"/>
        <v>-11379618.559999965</v>
      </c>
      <c r="I139" s="579"/>
    </row>
    <row r="140" spans="1:9" s="42" customFormat="1" ht="11.25" customHeight="1">
      <c r="A140" s="425">
        <v>2068</v>
      </c>
      <c r="B140" s="430">
        <v>1290217.43</v>
      </c>
      <c r="C140" s="430">
        <v>3679189.53</v>
      </c>
      <c r="D140" s="427"/>
      <c r="E140" s="428"/>
      <c r="F140" s="579">
        <f t="shared" si="0"/>
        <v>-2388972.0999999996</v>
      </c>
      <c r="G140" s="579"/>
      <c r="H140" s="579">
        <f t="shared" si="1"/>
        <v>-13768590.659999965</v>
      </c>
      <c r="I140" s="579"/>
    </row>
    <row r="141" spans="1:9" s="42" customFormat="1" ht="11.25" customHeight="1">
      <c r="A141" s="425">
        <v>2069</v>
      </c>
      <c r="B141" s="430">
        <v>1130017.69</v>
      </c>
      <c r="C141" s="430">
        <v>3312637.07</v>
      </c>
      <c r="D141" s="427"/>
      <c r="E141" s="428"/>
      <c r="F141" s="579">
        <f t="shared" si="0"/>
        <v>-2182619.38</v>
      </c>
      <c r="G141" s="579"/>
      <c r="H141" s="579">
        <f t="shared" si="1"/>
        <v>-15951210.039999966</v>
      </c>
      <c r="I141" s="579"/>
    </row>
    <row r="142" spans="1:9" s="42" customFormat="1" ht="11.25" customHeight="1">
      <c r="A142" s="425">
        <v>2070</v>
      </c>
      <c r="B142" s="430">
        <v>983049.36</v>
      </c>
      <c r="C142" s="430">
        <v>2964568.32</v>
      </c>
      <c r="D142" s="427"/>
      <c r="E142" s="428"/>
      <c r="F142" s="579">
        <f t="shared" si="0"/>
        <v>-1981518.96</v>
      </c>
      <c r="G142" s="579"/>
      <c r="H142" s="579">
        <f t="shared" si="1"/>
        <v>-17932728.999999966</v>
      </c>
      <c r="I142" s="579"/>
    </row>
    <row r="143" spans="1:9" s="42" customFormat="1" ht="11.25" customHeight="1">
      <c r="A143" s="425">
        <v>2071</v>
      </c>
      <c r="B143" s="430">
        <v>849036.95</v>
      </c>
      <c r="C143" s="430">
        <v>2635844.86</v>
      </c>
      <c r="D143" s="427"/>
      <c r="E143" s="428"/>
      <c r="F143" s="579">
        <f t="shared" si="0"/>
        <v>-1786807.91</v>
      </c>
      <c r="G143" s="579"/>
      <c r="H143" s="579">
        <f t="shared" si="1"/>
        <v>-19719536.909999967</v>
      </c>
      <c r="I143" s="579"/>
    </row>
    <row r="144" spans="1:9" s="42" customFormat="1" ht="11.25" customHeight="1">
      <c r="A144" s="425">
        <v>2072</v>
      </c>
      <c r="B144" s="430">
        <v>727630.5</v>
      </c>
      <c r="C144" s="430">
        <v>2327193.35</v>
      </c>
      <c r="D144" s="427"/>
      <c r="E144" s="428"/>
      <c r="F144" s="579">
        <f t="shared" si="0"/>
        <v>-1599562.85</v>
      </c>
      <c r="G144" s="579"/>
      <c r="H144" s="579">
        <f t="shared" si="1"/>
        <v>-21319099.759999968</v>
      </c>
      <c r="I144" s="579"/>
    </row>
    <row r="145" spans="1:9" s="42" customFormat="1" ht="11.25" customHeight="1">
      <c r="A145" s="425">
        <v>2073</v>
      </c>
      <c r="B145" s="430">
        <v>618405.43</v>
      </c>
      <c r="C145" s="430">
        <v>2039121.64</v>
      </c>
      <c r="D145" s="427"/>
      <c r="E145" s="428"/>
      <c r="F145" s="579">
        <f t="shared" si="0"/>
        <v>-1420716.21</v>
      </c>
      <c r="G145" s="579"/>
      <c r="H145" s="579">
        <f t="shared" si="1"/>
        <v>-22739815.96999997</v>
      </c>
      <c r="I145" s="579"/>
    </row>
    <row r="146" spans="1:9" s="42" customFormat="1" ht="11.25" customHeight="1">
      <c r="A146" s="425">
        <v>2074</v>
      </c>
      <c r="B146" s="430">
        <v>520871.6</v>
      </c>
      <c r="C146" s="430">
        <v>1771929.07</v>
      </c>
      <c r="D146" s="427"/>
      <c r="E146" s="428"/>
      <c r="F146" s="579">
        <f t="shared" si="0"/>
        <v>-1251057.4700000002</v>
      </c>
      <c r="G146" s="579"/>
      <c r="H146" s="579">
        <f t="shared" si="1"/>
        <v>-23990873.439999968</v>
      </c>
      <c r="I146" s="579"/>
    </row>
    <row r="147" spans="1:9" s="42" customFormat="1" ht="11.25" customHeight="1">
      <c r="A147" s="425">
        <v>2075</v>
      </c>
      <c r="B147" s="430">
        <v>434487</v>
      </c>
      <c r="C147" s="430">
        <v>1525817.08</v>
      </c>
      <c r="D147" s="427"/>
      <c r="E147" s="428"/>
      <c r="F147" s="579">
        <f t="shared" si="0"/>
        <v>-1091330.08</v>
      </c>
      <c r="G147" s="579"/>
      <c r="H147" s="579">
        <f t="shared" si="1"/>
        <v>-25082203.519999966</v>
      </c>
      <c r="I147" s="579"/>
    </row>
    <row r="148" spans="1:9" s="42" customFormat="1" ht="11.25" customHeight="1">
      <c r="A148" s="425">
        <v>2076</v>
      </c>
      <c r="B148" s="430">
        <v>358662.08</v>
      </c>
      <c r="C148" s="430">
        <v>1300923.15</v>
      </c>
      <c r="D148" s="427"/>
      <c r="E148" s="428"/>
      <c r="F148" s="579">
        <f t="shared" si="0"/>
        <v>-942261.0699999998</v>
      </c>
      <c r="G148" s="579"/>
      <c r="H148" s="579">
        <f t="shared" si="1"/>
        <v>-26024464.589999966</v>
      </c>
      <c r="I148" s="579"/>
    </row>
    <row r="149" spans="1:9" s="42" customFormat="1" ht="11.25" customHeight="1">
      <c r="A149" s="425">
        <v>2077</v>
      </c>
      <c r="B149" s="430">
        <v>292757.71</v>
      </c>
      <c r="C149" s="430">
        <v>1097255.7</v>
      </c>
      <c r="D149" s="427"/>
      <c r="E149" s="428"/>
      <c r="F149" s="579">
        <f t="shared" si="0"/>
        <v>-804497.99</v>
      </c>
      <c r="G149" s="579"/>
      <c r="H149" s="579">
        <f t="shared" si="1"/>
        <v>-26828962.579999965</v>
      </c>
      <c r="I149" s="579"/>
    </row>
    <row r="150" spans="1:9" s="42" customFormat="1" ht="11.25" customHeight="1">
      <c r="A150" s="425">
        <v>2078</v>
      </c>
      <c r="B150" s="430">
        <v>236087.3</v>
      </c>
      <c r="C150" s="430">
        <v>914635.47</v>
      </c>
      <c r="D150" s="427"/>
      <c r="E150" s="428"/>
      <c r="F150" s="579">
        <f t="shared" si="0"/>
        <v>-678548.1699999999</v>
      </c>
      <c r="G150" s="579"/>
      <c r="H150" s="579">
        <f t="shared" si="1"/>
        <v>-27507510.749999963</v>
      </c>
      <c r="I150" s="579"/>
    </row>
    <row r="151" spans="1:9" s="42" customFormat="1" ht="11.25" customHeight="1">
      <c r="A151" s="425">
        <v>2079</v>
      </c>
      <c r="B151" s="430">
        <v>187923.46</v>
      </c>
      <c r="C151" s="430">
        <v>752658.38</v>
      </c>
      <c r="D151" s="427"/>
      <c r="E151" s="428"/>
      <c r="F151" s="579">
        <f t="shared" si="0"/>
        <v>-564734.92</v>
      </c>
      <c r="G151" s="579"/>
      <c r="H151" s="579">
        <f t="shared" si="1"/>
        <v>-28072245.669999965</v>
      </c>
      <c r="I151" s="579"/>
    </row>
    <row r="152" spans="1:9" s="42" customFormat="1" ht="11.25" customHeight="1">
      <c r="A152" s="425">
        <v>2080</v>
      </c>
      <c r="B152" s="430">
        <v>147512.34</v>
      </c>
      <c r="C152" s="430">
        <v>610766.44</v>
      </c>
      <c r="D152" s="427"/>
      <c r="E152" s="428"/>
      <c r="F152" s="579">
        <f t="shared" si="0"/>
        <v>-463254.1</v>
      </c>
      <c r="G152" s="579"/>
      <c r="H152" s="579">
        <f t="shared" si="1"/>
        <v>-28535499.769999966</v>
      </c>
      <c r="I152" s="579"/>
    </row>
    <row r="153" spans="1:9" s="42" customFormat="1" ht="11.25" customHeight="1">
      <c r="A153" s="425">
        <v>2081</v>
      </c>
      <c r="B153" s="430">
        <v>114079.53</v>
      </c>
      <c r="C153" s="430">
        <v>488210.61</v>
      </c>
      <c r="D153" s="427"/>
      <c r="E153" s="428"/>
      <c r="F153" s="579">
        <f t="shared" si="0"/>
        <v>-374131.07999999996</v>
      </c>
      <c r="G153" s="579"/>
      <c r="H153" s="579">
        <f t="shared" si="1"/>
        <v>-28909630.849999964</v>
      </c>
      <c r="I153" s="579"/>
    </row>
    <row r="154" spans="1:9" s="42" customFormat="1" ht="11.25" customHeight="1">
      <c r="A154" s="425">
        <v>2082</v>
      </c>
      <c r="B154" s="430">
        <v>86838.11</v>
      </c>
      <c r="C154" s="430">
        <v>384002.9</v>
      </c>
      <c r="D154" s="427"/>
      <c r="E154" s="428"/>
      <c r="F154" s="579">
        <f aca="true" t="shared" si="2" ref="F154:F161">B154-C154</f>
        <v>-297164.79000000004</v>
      </c>
      <c r="G154" s="579"/>
      <c r="H154" s="579">
        <f aca="true" t="shared" si="3" ref="H154:H161">F154+H153</f>
        <v>-29206795.639999963</v>
      </c>
      <c r="I154" s="579"/>
    </row>
    <row r="155" spans="1:9" s="42" customFormat="1" ht="11.25" customHeight="1">
      <c r="A155" s="425">
        <v>2083</v>
      </c>
      <c r="B155" s="430">
        <v>65002.81</v>
      </c>
      <c r="C155" s="430">
        <v>296928.71</v>
      </c>
      <c r="D155" s="427"/>
      <c r="E155" s="428"/>
      <c r="F155" s="579">
        <f t="shared" si="2"/>
        <v>-231925.90000000002</v>
      </c>
      <c r="G155" s="579"/>
      <c r="H155" s="579">
        <f t="shared" si="3"/>
        <v>-29438721.53999996</v>
      </c>
      <c r="I155" s="579"/>
    </row>
    <row r="156" spans="1:9" s="42" customFormat="1" ht="11.25" customHeight="1">
      <c r="A156" s="425">
        <v>2084</v>
      </c>
      <c r="B156" s="430">
        <v>47802.62</v>
      </c>
      <c r="C156" s="430">
        <v>225523.76</v>
      </c>
      <c r="D156" s="427"/>
      <c r="E156" s="428"/>
      <c r="F156" s="579">
        <f t="shared" si="2"/>
        <v>-177721.14</v>
      </c>
      <c r="G156" s="579"/>
      <c r="H156" s="579">
        <f t="shared" si="3"/>
        <v>-29616442.679999962</v>
      </c>
      <c r="I156" s="579"/>
    </row>
    <row r="157" spans="1:9" s="42" customFormat="1" ht="11.25" customHeight="1">
      <c r="A157" s="425">
        <v>2085</v>
      </c>
      <c r="B157" s="430">
        <v>34499.7</v>
      </c>
      <c r="C157" s="430">
        <v>168139.88</v>
      </c>
      <c r="D157" s="427"/>
      <c r="E157" s="428"/>
      <c r="F157" s="579">
        <f t="shared" si="2"/>
        <v>-133640.18</v>
      </c>
      <c r="G157" s="579"/>
      <c r="H157" s="579">
        <f t="shared" si="3"/>
        <v>-29750082.859999962</v>
      </c>
      <c r="I157" s="579"/>
    </row>
    <row r="158" spans="1:9" s="42" customFormat="1" ht="11.25" customHeight="1">
      <c r="A158" s="425">
        <v>2086</v>
      </c>
      <c r="B158" s="430">
        <v>24405.08</v>
      </c>
      <c r="C158" s="430">
        <v>123004.86</v>
      </c>
      <c r="D158" s="427"/>
      <c r="E158" s="428"/>
      <c r="F158" s="579">
        <f t="shared" si="2"/>
        <v>-98599.78</v>
      </c>
      <c r="G158" s="579"/>
      <c r="H158" s="579">
        <f t="shared" si="3"/>
        <v>-29848682.639999963</v>
      </c>
      <c r="I158" s="579"/>
    </row>
    <row r="159" spans="1:9" s="42" customFormat="1" ht="11.25" customHeight="1">
      <c r="A159" s="425">
        <v>2087</v>
      </c>
      <c r="B159" s="430">
        <v>16888.86</v>
      </c>
      <c r="C159" s="430">
        <v>88217.31</v>
      </c>
      <c r="D159" s="427"/>
      <c r="E159" s="428"/>
      <c r="F159" s="579">
        <f t="shared" si="2"/>
        <v>-71328.45</v>
      </c>
      <c r="G159" s="579"/>
      <c r="H159" s="579">
        <f t="shared" si="3"/>
        <v>-29920011.089999963</v>
      </c>
      <c r="I159" s="579"/>
    </row>
    <row r="160" spans="1:9" s="42" customFormat="1" ht="11.25" customHeight="1">
      <c r="A160" s="425">
        <v>2088</v>
      </c>
      <c r="B160" s="430">
        <v>11398.29</v>
      </c>
      <c r="C160" s="430">
        <v>61894.11</v>
      </c>
      <c r="D160" s="427"/>
      <c r="E160" s="428"/>
      <c r="F160" s="579">
        <f t="shared" si="2"/>
        <v>-50495.82</v>
      </c>
      <c r="G160" s="579"/>
      <c r="H160" s="579">
        <f t="shared" si="3"/>
        <v>-29970506.909999963</v>
      </c>
      <c r="I160" s="579"/>
    </row>
    <row r="161" spans="1:9" s="42" customFormat="1" ht="11.25" customHeight="1">
      <c r="A161" s="425">
        <v>2089</v>
      </c>
      <c r="B161" s="430">
        <v>7468.5</v>
      </c>
      <c r="C161" s="430">
        <v>42327.97</v>
      </c>
      <c r="D161" s="427"/>
      <c r="E161" s="428"/>
      <c r="F161" s="579">
        <f t="shared" si="2"/>
        <v>-34859.47</v>
      </c>
      <c r="G161" s="579"/>
      <c r="H161" s="579">
        <f t="shared" si="3"/>
        <v>-30005366.37999996</v>
      </c>
      <c r="I161" s="579"/>
    </row>
    <row r="162" spans="1:9" ht="11.25" customHeight="1">
      <c r="A162" s="608"/>
      <c r="B162" s="608"/>
      <c r="C162" s="608"/>
      <c r="D162" s="608"/>
      <c r="E162" s="608"/>
      <c r="F162" s="608"/>
      <c r="G162" s="608"/>
      <c r="H162" s="608"/>
      <c r="I162" s="608"/>
    </row>
    <row r="163" spans="8:9" ht="11.25" customHeight="1">
      <c r="H163" s="266"/>
      <c r="I163" s="266"/>
    </row>
    <row r="164" spans="8:9" ht="11.25" customHeight="1">
      <c r="H164" s="266"/>
      <c r="I164" s="266"/>
    </row>
    <row r="196" spans="8:9" ht="11.25" customHeight="1">
      <c r="H196" s="266"/>
      <c r="I196" s="266"/>
    </row>
    <row r="197" spans="8:9" ht="11.25" customHeight="1">
      <c r="H197" s="266"/>
      <c r="I197" s="266"/>
    </row>
    <row r="207" spans="8:9" ht="11.25" customHeight="1">
      <c r="H207" s="266"/>
      <c r="I207" s="266"/>
    </row>
  </sheetData>
  <sheetProtection/>
  <mergeCells count="361">
    <mergeCell ref="H76:I76"/>
    <mergeCell ref="B79:C79"/>
    <mergeCell ref="B75:C75"/>
    <mergeCell ref="B74:C74"/>
    <mergeCell ref="F73:G73"/>
    <mergeCell ref="F74:G74"/>
    <mergeCell ref="H79:I79"/>
    <mergeCell ref="H74:I74"/>
    <mergeCell ref="H75:I75"/>
    <mergeCell ref="F75:G75"/>
    <mergeCell ref="F72:G72"/>
    <mergeCell ref="H72:I72"/>
    <mergeCell ref="B73:C73"/>
    <mergeCell ref="H73:I73"/>
    <mergeCell ref="H69:I69"/>
    <mergeCell ref="H64:I64"/>
    <mergeCell ref="F66:G66"/>
    <mergeCell ref="B70:C70"/>
    <mergeCell ref="F70:G70"/>
    <mergeCell ref="H70:I70"/>
    <mergeCell ref="H61:I61"/>
    <mergeCell ref="F61:G61"/>
    <mergeCell ref="B61:C61"/>
    <mergeCell ref="F69:G69"/>
    <mergeCell ref="F62:G62"/>
    <mergeCell ref="B64:C64"/>
    <mergeCell ref="D64:E64"/>
    <mergeCell ref="F64:G64"/>
    <mergeCell ref="B60:C60"/>
    <mergeCell ref="B59:C59"/>
    <mergeCell ref="B57:C57"/>
    <mergeCell ref="B58:C58"/>
    <mergeCell ref="H52:I52"/>
    <mergeCell ref="H53:I53"/>
    <mergeCell ref="H54:I54"/>
    <mergeCell ref="B55:C55"/>
    <mergeCell ref="B56:C56"/>
    <mergeCell ref="H59:I59"/>
    <mergeCell ref="H55:I55"/>
    <mergeCell ref="F55:G55"/>
    <mergeCell ref="F59:G59"/>
    <mergeCell ref="F60:G60"/>
    <mergeCell ref="H60:I60"/>
    <mergeCell ref="F56:G56"/>
    <mergeCell ref="F57:G57"/>
    <mergeCell ref="H56:I56"/>
    <mergeCell ref="H57:I57"/>
    <mergeCell ref="H58:I58"/>
    <mergeCell ref="B47:C47"/>
    <mergeCell ref="B43:C43"/>
    <mergeCell ref="B48:C48"/>
    <mergeCell ref="B49:C49"/>
    <mergeCell ref="B46:E46"/>
    <mergeCell ref="F48:G48"/>
    <mergeCell ref="F49:G49"/>
    <mergeCell ref="F44:G44"/>
    <mergeCell ref="B44:C44"/>
    <mergeCell ref="F46:G46"/>
    <mergeCell ref="H51:I51"/>
    <mergeCell ref="H41:I41"/>
    <mergeCell ref="H42:I42"/>
    <mergeCell ref="H43:I43"/>
    <mergeCell ref="H48:I48"/>
    <mergeCell ref="H49:I49"/>
    <mergeCell ref="H50:I50"/>
    <mergeCell ref="F40:G40"/>
    <mergeCell ref="F41:G41"/>
    <mergeCell ref="F42:G42"/>
    <mergeCell ref="F43:G43"/>
    <mergeCell ref="H46:I46"/>
    <mergeCell ref="H47:I47"/>
    <mergeCell ref="H44:I44"/>
    <mergeCell ref="H35:I35"/>
    <mergeCell ref="H36:I36"/>
    <mergeCell ref="H37:I37"/>
    <mergeCell ref="H38:I38"/>
    <mergeCell ref="F53:G53"/>
    <mergeCell ref="H39:I39"/>
    <mergeCell ref="F39:G39"/>
    <mergeCell ref="F37:G37"/>
    <mergeCell ref="H40:I40"/>
    <mergeCell ref="F47:G47"/>
    <mergeCell ref="H31:I31"/>
    <mergeCell ref="H34:I34"/>
    <mergeCell ref="H27:I27"/>
    <mergeCell ref="H28:I28"/>
    <mergeCell ref="H29:I29"/>
    <mergeCell ref="H30:I30"/>
    <mergeCell ref="H23:I23"/>
    <mergeCell ref="H24:I24"/>
    <mergeCell ref="H25:I25"/>
    <mergeCell ref="H26:I26"/>
    <mergeCell ref="H19:I19"/>
    <mergeCell ref="H20:I20"/>
    <mergeCell ref="H21:I21"/>
    <mergeCell ref="H22:I22"/>
    <mergeCell ref="H15:I15"/>
    <mergeCell ref="H16:I16"/>
    <mergeCell ref="H17:I17"/>
    <mergeCell ref="H18:I18"/>
    <mergeCell ref="H11:I11"/>
    <mergeCell ref="H12:I12"/>
    <mergeCell ref="H13:I13"/>
    <mergeCell ref="H14:I14"/>
    <mergeCell ref="F25:G25"/>
    <mergeCell ref="F32:G32"/>
    <mergeCell ref="F33:G33"/>
    <mergeCell ref="F34:G34"/>
    <mergeCell ref="F35:G35"/>
    <mergeCell ref="F11:G11"/>
    <mergeCell ref="F12:G12"/>
    <mergeCell ref="F13:G13"/>
    <mergeCell ref="F14:G14"/>
    <mergeCell ref="F21:G21"/>
    <mergeCell ref="A162:I162"/>
    <mergeCell ref="F88:G88"/>
    <mergeCell ref="F89:G89"/>
    <mergeCell ref="F38:G38"/>
    <mergeCell ref="F28:G28"/>
    <mergeCell ref="F29:G29"/>
    <mergeCell ref="F30:G30"/>
    <mergeCell ref="F36:G36"/>
    <mergeCell ref="H32:I32"/>
    <mergeCell ref="H33:I33"/>
    <mergeCell ref="F22:G22"/>
    <mergeCell ref="F23:G23"/>
    <mergeCell ref="F26:G26"/>
    <mergeCell ref="F27:G27"/>
    <mergeCell ref="F15:G15"/>
    <mergeCell ref="F16:G16"/>
    <mergeCell ref="F17:G17"/>
    <mergeCell ref="F18:G18"/>
    <mergeCell ref="F19:G19"/>
    <mergeCell ref="F24:G24"/>
    <mergeCell ref="B80:C80"/>
    <mergeCell ref="F79:G79"/>
    <mergeCell ref="B81:C81"/>
    <mergeCell ref="F90:G90"/>
    <mergeCell ref="F93:G93"/>
    <mergeCell ref="F94:G94"/>
    <mergeCell ref="F91:G91"/>
    <mergeCell ref="F92:G92"/>
    <mergeCell ref="C86:E86"/>
    <mergeCell ref="B52:C52"/>
    <mergeCell ref="F50:G50"/>
    <mergeCell ref="F51:G51"/>
    <mergeCell ref="F52:G52"/>
    <mergeCell ref="H78:I78"/>
    <mergeCell ref="B66:E66"/>
    <mergeCell ref="B76:C76"/>
    <mergeCell ref="B78:E78"/>
    <mergeCell ref="F78:G78"/>
    <mergeCell ref="F54:G54"/>
    <mergeCell ref="H7:I7"/>
    <mergeCell ref="A8:I8"/>
    <mergeCell ref="A9:I9"/>
    <mergeCell ref="B10:E10"/>
    <mergeCell ref="F10:G10"/>
    <mergeCell ref="H10:I10"/>
    <mergeCell ref="A7:G7"/>
    <mergeCell ref="B15:C15"/>
    <mergeCell ref="A84:I84"/>
    <mergeCell ref="A85:I85"/>
    <mergeCell ref="F31:G31"/>
    <mergeCell ref="F20:G20"/>
    <mergeCell ref="B34:C34"/>
    <mergeCell ref="B23:C23"/>
    <mergeCell ref="B39:C39"/>
    <mergeCell ref="B40:C40"/>
    <mergeCell ref="B41:C41"/>
    <mergeCell ref="B22:C22"/>
    <mergeCell ref="A1:G1"/>
    <mergeCell ref="A2:G2"/>
    <mergeCell ref="A3:G3"/>
    <mergeCell ref="A4:G4"/>
    <mergeCell ref="A6:G6"/>
    <mergeCell ref="A5:G5"/>
    <mergeCell ref="B20:C20"/>
    <mergeCell ref="B21:C21"/>
    <mergeCell ref="B14:C14"/>
    <mergeCell ref="B11:C11"/>
    <mergeCell ref="B12:C12"/>
    <mergeCell ref="B13:C13"/>
    <mergeCell ref="B72:E72"/>
    <mergeCell ref="B18:C18"/>
    <mergeCell ref="B19:C19"/>
    <mergeCell ref="B16:C16"/>
    <mergeCell ref="B17:C17"/>
    <mergeCell ref="B62:E62"/>
    <mergeCell ref="B36:C36"/>
    <mergeCell ref="B24:C24"/>
    <mergeCell ref="B25:C25"/>
    <mergeCell ref="B26:C26"/>
    <mergeCell ref="B35:C35"/>
    <mergeCell ref="B27:C27"/>
    <mergeCell ref="H91:I91"/>
    <mergeCell ref="F86:G86"/>
    <mergeCell ref="B42:C42"/>
    <mergeCell ref="B50:C50"/>
    <mergeCell ref="B51:C51"/>
    <mergeCell ref="B37:C37"/>
    <mergeCell ref="B38:C38"/>
    <mergeCell ref="B28:C28"/>
    <mergeCell ref="B29:C29"/>
    <mergeCell ref="B30:C30"/>
    <mergeCell ref="B31:C31"/>
    <mergeCell ref="B32:C32"/>
    <mergeCell ref="B33:C33"/>
    <mergeCell ref="B53:C53"/>
    <mergeCell ref="F58:G58"/>
    <mergeCell ref="B54:C54"/>
    <mergeCell ref="H88:I88"/>
    <mergeCell ref="F95:G95"/>
    <mergeCell ref="F96:G96"/>
    <mergeCell ref="H80:I80"/>
    <mergeCell ref="H81:I81"/>
    <mergeCell ref="F80:G80"/>
    <mergeCell ref="F81:G81"/>
    <mergeCell ref="F97:G97"/>
    <mergeCell ref="F98:G98"/>
    <mergeCell ref="H62:I62"/>
    <mergeCell ref="H92:I92"/>
    <mergeCell ref="H86:I86"/>
    <mergeCell ref="H66:I66"/>
    <mergeCell ref="F76:G76"/>
    <mergeCell ref="H93:I93"/>
    <mergeCell ref="B67:I67"/>
    <mergeCell ref="B69:E69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H89:I89"/>
    <mergeCell ref="H90:I90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9:I159"/>
    <mergeCell ref="H160:I160"/>
    <mergeCell ref="H161:I161"/>
    <mergeCell ref="H153:I153"/>
    <mergeCell ref="H154:I154"/>
    <mergeCell ref="H155:I155"/>
    <mergeCell ref="H156:I156"/>
    <mergeCell ref="H157:I157"/>
    <mergeCell ref="H158:I158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A1:G26"/>
  <sheetViews>
    <sheetView zoomScale="90" zoomScaleNormal="90" zoomScalePageLayoutView="0" workbookViewId="0" topLeftCell="A1">
      <selection activeCell="A20" sqref="A20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21.421875" style="0" customWidth="1"/>
    <col min="4" max="6" width="12.8515625" style="0" customWidth="1"/>
    <col min="7" max="7" width="16.140625" style="0" customWidth="1"/>
  </cols>
  <sheetData>
    <row r="1" spans="1:7" ht="12.75">
      <c r="A1" s="637" t="str">
        <f>Parâmetros!A7</f>
        <v>Município de :Ivoti</v>
      </c>
      <c r="B1" s="622"/>
      <c r="C1" s="622"/>
      <c r="D1" s="622"/>
      <c r="E1" s="622"/>
      <c r="F1" s="623"/>
      <c r="G1" s="100"/>
    </row>
    <row r="2" spans="1:7" ht="12.75">
      <c r="A2" s="638" t="s">
        <v>36</v>
      </c>
      <c r="B2" s="620"/>
      <c r="C2" s="620"/>
      <c r="D2" s="620"/>
      <c r="E2" s="620"/>
      <c r="F2" s="621"/>
      <c r="G2" s="11"/>
    </row>
    <row r="3" spans="1:7" ht="12.75">
      <c r="A3" s="619" t="str">
        <f>'Metas Cons'!A3:M3</f>
        <v>ANEXO DE METAS FISCAIS</v>
      </c>
      <c r="B3" s="622"/>
      <c r="C3" s="622"/>
      <c r="D3" s="622"/>
      <c r="E3" s="622"/>
      <c r="F3" s="623"/>
      <c r="G3" s="100"/>
    </row>
    <row r="4" spans="1:7" ht="12.75">
      <c r="A4" s="639" t="s">
        <v>463</v>
      </c>
      <c r="B4" s="640"/>
      <c r="C4" s="640"/>
      <c r="D4" s="640"/>
      <c r="E4" s="640"/>
      <c r="F4" s="641"/>
      <c r="G4" s="100"/>
    </row>
    <row r="5" spans="1:7" ht="12.75">
      <c r="A5" s="619" t="s">
        <v>569</v>
      </c>
      <c r="B5" s="620"/>
      <c r="C5" s="620"/>
      <c r="D5" s="620"/>
      <c r="E5" s="620"/>
      <c r="F5" s="621"/>
      <c r="G5" s="11"/>
    </row>
    <row r="6" spans="1:7" ht="12.75">
      <c r="A6" s="619"/>
      <c r="B6" s="622"/>
      <c r="C6" s="622"/>
      <c r="D6" s="622"/>
      <c r="E6" s="622"/>
      <c r="F6" s="623"/>
      <c r="G6" s="100"/>
    </row>
    <row r="7" spans="1:7" s="42" customFormat="1" ht="11.25" customHeight="1">
      <c r="A7" s="271" t="s">
        <v>466</v>
      </c>
      <c r="B7" s="267"/>
      <c r="C7" s="267"/>
      <c r="D7" s="267"/>
      <c r="E7" s="267"/>
      <c r="F7" s="268"/>
      <c r="G7" s="269">
        <v>1</v>
      </c>
    </row>
    <row r="8" spans="1:7" s="43" customFormat="1" ht="11.25" customHeight="1">
      <c r="A8" s="624" t="s">
        <v>152</v>
      </c>
      <c r="B8" s="627" t="s">
        <v>153</v>
      </c>
      <c r="C8" s="630" t="s">
        <v>154</v>
      </c>
      <c r="D8" s="627" t="s">
        <v>103</v>
      </c>
      <c r="E8" s="633"/>
      <c r="F8" s="624"/>
      <c r="G8" s="630" t="s">
        <v>104</v>
      </c>
    </row>
    <row r="9" spans="1:7" s="43" customFormat="1" ht="11.25" customHeight="1">
      <c r="A9" s="625"/>
      <c r="B9" s="628"/>
      <c r="C9" s="631"/>
      <c r="D9" s="629"/>
      <c r="E9" s="634"/>
      <c r="F9" s="626"/>
      <c r="G9" s="631"/>
    </row>
    <row r="10" spans="1:7" s="42" customFormat="1" ht="24" customHeight="1">
      <c r="A10" s="626"/>
      <c r="B10" s="629"/>
      <c r="C10" s="632"/>
      <c r="D10" s="270">
        <f>Parâmetros!E10</f>
        <v>2019</v>
      </c>
      <c r="E10" s="270">
        <f>D10+1</f>
        <v>2020</v>
      </c>
      <c r="F10" s="270">
        <f>E10+1</f>
        <v>2021</v>
      </c>
      <c r="G10" s="632"/>
    </row>
    <row r="11" spans="1:7" s="42" customFormat="1" ht="25.5">
      <c r="A11" s="415" t="s">
        <v>624</v>
      </c>
      <c r="B11" s="415" t="s">
        <v>625</v>
      </c>
      <c r="C11" s="415" t="s">
        <v>626</v>
      </c>
      <c r="D11" s="416">
        <v>2000</v>
      </c>
      <c r="E11" s="417">
        <f>D11*(1+B24)</f>
        <v>2080.6</v>
      </c>
      <c r="F11" s="417">
        <f>E11*(1+B25)</f>
        <v>2161.7434</v>
      </c>
      <c r="G11" s="635" t="s">
        <v>156</v>
      </c>
    </row>
    <row r="12" spans="1:7" s="42" customFormat="1" ht="38.25">
      <c r="A12" s="415" t="s">
        <v>624</v>
      </c>
      <c r="B12" s="415" t="s">
        <v>625</v>
      </c>
      <c r="C12" s="415" t="s">
        <v>627</v>
      </c>
      <c r="D12" s="416">
        <v>2100</v>
      </c>
      <c r="E12" s="417">
        <f>D12*(1+B24)</f>
        <v>2184.63</v>
      </c>
      <c r="F12" s="417">
        <f>E12*(1+B25)</f>
        <v>2269.83057</v>
      </c>
      <c r="G12" s="636"/>
    </row>
    <row r="13" spans="1:7" s="42" customFormat="1" ht="25.5">
      <c r="A13" s="415" t="s">
        <v>624</v>
      </c>
      <c r="B13" s="415" t="s">
        <v>628</v>
      </c>
      <c r="C13" s="415" t="s">
        <v>629</v>
      </c>
      <c r="D13" s="416">
        <v>40000</v>
      </c>
      <c r="E13" s="417">
        <f>D13*(1+B24)</f>
        <v>41612</v>
      </c>
      <c r="F13" s="417">
        <f>E13*(1+B25)</f>
        <v>43234.867999999995</v>
      </c>
      <c r="G13" s="418" t="s">
        <v>157</v>
      </c>
    </row>
    <row r="14" spans="1:7" s="42" customFormat="1" ht="11.25" customHeight="1">
      <c r="A14" s="415"/>
      <c r="B14" s="415"/>
      <c r="C14" s="415"/>
      <c r="D14" s="416"/>
      <c r="E14" s="417">
        <f>D14*(1+B24)</f>
        <v>0</v>
      </c>
      <c r="F14" s="417">
        <f>E14*(1+B25)</f>
        <v>0</v>
      </c>
      <c r="G14" s="418"/>
    </row>
    <row r="15" spans="1:7" s="42" customFormat="1" ht="11.25" customHeight="1">
      <c r="A15" s="415"/>
      <c r="B15" s="415"/>
      <c r="C15" s="415"/>
      <c r="D15" s="416"/>
      <c r="E15" s="417">
        <f>D15*(1+B24)</f>
        <v>0</v>
      </c>
      <c r="F15" s="417">
        <f>E15*(1+B25)</f>
        <v>0</v>
      </c>
      <c r="G15" s="418"/>
    </row>
    <row r="16" spans="1:7" s="42" customFormat="1" ht="11.25" customHeight="1">
      <c r="A16" s="415"/>
      <c r="B16" s="415"/>
      <c r="C16" s="415"/>
      <c r="D16" s="416"/>
      <c r="E16" s="417">
        <f>D16*(1+B24)</f>
        <v>0</v>
      </c>
      <c r="F16" s="417">
        <f>E16*(1+B25)</f>
        <v>0</v>
      </c>
      <c r="G16" s="418"/>
    </row>
    <row r="17" spans="1:7" s="42" customFormat="1" ht="11.25" customHeight="1">
      <c r="A17" s="419"/>
      <c r="B17" s="419"/>
      <c r="C17" s="419"/>
      <c r="D17" s="420"/>
      <c r="E17" s="417">
        <f>D17*(1+B24)</f>
        <v>0</v>
      </c>
      <c r="F17" s="417">
        <f>E17*(1+B25)</f>
        <v>0</v>
      </c>
      <c r="G17" s="421"/>
    </row>
    <row r="18" spans="1:7" s="42" customFormat="1" ht="11.25" customHeight="1">
      <c r="A18" s="617" t="s">
        <v>89</v>
      </c>
      <c r="B18" s="617"/>
      <c r="C18" s="618"/>
      <c r="D18" s="422">
        <f>SUM(D11:D17)</f>
        <v>44100</v>
      </c>
      <c r="E18" s="422">
        <f>SUM(E11:E17)</f>
        <v>45877.229999999996</v>
      </c>
      <c r="F18" s="422">
        <f>SUM(F11:F17)</f>
        <v>47666.44196999999</v>
      </c>
      <c r="G18" s="423" t="s">
        <v>155</v>
      </c>
    </row>
    <row r="19" spans="1:7" s="42" customFormat="1" ht="11.25" customHeight="1">
      <c r="A19" s="74" t="s">
        <v>630</v>
      </c>
      <c r="B19" s="46"/>
      <c r="C19" s="46"/>
      <c r="D19" s="46"/>
      <c r="E19" s="46"/>
      <c r="F19" s="46"/>
      <c r="G19" s="46"/>
    </row>
    <row r="20" spans="1:6" ht="12.75">
      <c r="A20" s="11" t="s">
        <v>581</v>
      </c>
      <c r="B20" s="45"/>
      <c r="C20" s="45"/>
      <c r="D20" s="45"/>
      <c r="E20" s="45"/>
      <c r="F20" s="45"/>
    </row>
    <row r="21" ht="12.75">
      <c r="A21" t="s">
        <v>138</v>
      </c>
    </row>
    <row r="22" ht="12.75">
      <c r="A22" s="11" t="s">
        <v>623</v>
      </c>
    </row>
    <row r="23" ht="12.75">
      <c r="A23" t="s">
        <v>141</v>
      </c>
    </row>
    <row r="24" spans="1:2" ht="12.75">
      <c r="A24" s="11" t="s">
        <v>394</v>
      </c>
      <c r="B24" s="39">
        <f>Parâmetros!F11</f>
        <v>0.0403</v>
      </c>
    </row>
    <row r="25" spans="1:2" ht="12.75">
      <c r="A25" s="11" t="s">
        <v>582</v>
      </c>
      <c r="B25" s="39">
        <f>Parâmetros!G11</f>
        <v>0.039</v>
      </c>
    </row>
    <row r="26" ht="12.75">
      <c r="B26" s="39"/>
    </row>
  </sheetData>
  <sheetProtection/>
  <mergeCells count="13">
    <mergeCell ref="G8:G10"/>
    <mergeCell ref="G11:G12"/>
    <mergeCell ref="A1:F1"/>
    <mergeCell ref="A2:F2"/>
    <mergeCell ref="A3:F3"/>
    <mergeCell ref="A4:F4"/>
    <mergeCell ref="A18:C18"/>
    <mergeCell ref="A5:F5"/>
    <mergeCell ref="A6:F6"/>
    <mergeCell ref="A8:A10"/>
    <mergeCell ref="B8:B10"/>
    <mergeCell ref="C8:C10"/>
    <mergeCell ref="D8:F9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1:B26"/>
  <sheetViews>
    <sheetView zoomScale="90" zoomScaleNormal="90" zoomScalePageLayoutView="0" workbookViewId="0" topLeftCell="A4">
      <selection activeCell="D31" sqref="D31"/>
    </sheetView>
  </sheetViews>
  <sheetFormatPr defaultColWidth="9.140625" defaultRowHeight="12.75"/>
  <cols>
    <col min="1" max="1" width="55.57421875" style="11" customWidth="1"/>
    <col min="2" max="2" width="47.57421875" style="11" customWidth="1"/>
    <col min="3" max="16384" width="9.140625" style="11" customWidth="1"/>
  </cols>
  <sheetData>
    <row r="1" spans="1:2" ht="14.25">
      <c r="A1" s="642" t="str">
        <f>Parâmetros!A7</f>
        <v>Município de :Ivoti</v>
      </c>
      <c r="B1" s="643"/>
    </row>
    <row r="2" spans="1:2" ht="14.25">
      <c r="A2" s="644" t="s">
        <v>36</v>
      </c>
      <c r="B2" s="643"/>
    </row>
    <row r="3" spans="1:2" ht="14.25">
      <c r="A3" s="644" t="str">
        <f>'Metas Cons'!A3:M3</f>
        <v>ANEXO DE METAS FISCAIS</v>
      </c>
      <c r="B3" s="643"/>
    </row>
    <row r="4" spans="1:2" ht="15">
      <c r="A4" s="645" t="s">
        <v>464</v>
      </c>
      <c r="B4" s="646"/>
    </row>
    <row r="5" spans="1:2" ht="14.25">
      <c r="A5" s="644" t="s">
        <v>569</v>
      </c>
      <c r="B5" s="643"/>
    </row>
    <row r="6" spans="1:2" ht="14.25">
      <c r="A6" s="644"/>
      <c r="B6" s="643"/>
    </row>
    <row r="7" spans="1:2" ht="15">
      <c r="A7" s="272" t="s">
        <v>465</v>
      </c>
      <c r="B7" s="273">
        <v>1</v>
      </c>
    </row>
    <row r="8" spans="1:2" s="12" customFormat="1" ht="25.5" customHeight="1">
      <c r="A8" s="254" t="s">
        <v>105</v>
      </c>
      <c r="B8" s="265" t="s">
        <v>574</v>
      </c>
    </row>
    <row r="9" spans="1:2" ht="15">
      <c r="A9" s="274" t="s">
        <v>106</v>
      </c>
      <c r="B9" s="275">
        <f>(B10+B11)</f>
        <v>647717.1760273892</v>
      </c>
    </row>
    <row r="10" spans="1:2" ht="14.25">
      <c r="A10" s="262" t="s">
        <v>134</v>
      </c>
      <c r="B10" s="264">
        <f>(Projeções!G9/(1+Parâmetros!E11))-(Projeções!F9*(1+Parâmetros!D11))</f>
        <v>941675.1756209079</v>
      </c>
    </row>
    <row r="11" spans="1:2" ht="14.25">
      <c r="A11" s="262" t="s">
        <v>135</v>
      </c>
      <c r="B11" s="264">
        <f>(Projeções!G39/(1+Parâmetros!E11))-(Projeções!F39*(1+Parâmetros!D11))</f>
        <v>-293957.9995935187</v>
      </c>
    </row>
    <row r="12" spans="1:2" ht="14.25">
      <c r="A12" s="262" t="s">
        <v>180</v>
      </c>
      <c r="B12" s="264">
        <v>0</v>
      </c>
    </row>
    <row r="13" spans="1:2" ht="14.25">
      <c r="A13" s="263" t="s">
        <v>143</v>
      </c>
      <c r="B13" s="264">
        <f>(Projeções!G101/(1+Parâmetros!E11)-(Projeções!F101*(1+Parâmetros!D11)))</f>
        <v>-111308.80277168006</v>
      </c>
    </row>
    <row r="14" spans="1:2" ht="15">
      <c r="A14" s="276" t="s">
        <v>107</v>
      </c>
      <c r="B14" s="277">
        <f>B9+B13</f>
        <v>536408.3732557092</v>
      </c>
    </row>
    <row r="15" spans="1:2" ht="14.25">
      <c r="A15" s="263" t="s">
        <v>108</v>
      </c>
      <c r="B15" s="278">
        <v>0</v>
      </c>
    </row>
    <row r="16" spans="1:2" ht="15">
      <c r="A16" s="263" t="s">
        <v>109</v>
      </c>
      <c r="B16" s="277">
        <f>B14+B15</f>
        <v>536408.3732557092</v>
      </c>
    </row>
    <row r="17" spans="1:2" ht="14.25">
      <c r="A17" s="262" t="s">
        <v>110</v>
      </c>
      <c r="B17" s="264"/>
    </row>
    <row r="18" spans="1:2" ht="15">
      <c r="A18" s="276" t="s">
        <v>177</v>
      </c>
      <c r="B18" s="277">
        <f>B19+B20</f>
        <v>1758273.9407982863</v>
      </c>
    </row>
    <row r="19" spans="1:2" ht="14.25">
      <c r="A19" s="263" t="s">
        <v>136</v>
      </c>
      <c r="B19" s="264">
        <f>Projeções!G114/(1+Parâmetros!E11)-(Projeções!F114*(1+Parâmetros!D11))</f>
        <v>622212.975371249</v>
      </c>
    </row>
    <row r="20" spans="1:2" ht="14.25">
      <c r="A20" s="263" t="s">
        <v>137</v>
      </c>
      <c r="B20" s="264">
        <f>Projeções!G124/(1+Parâmetros!E11)-Projeções!F124*(1+Parâmetros!D11)</f>
        <v>1136060.9654270373</v>
      </c>
    </row>
    <row r="21" spans="1:2" ht="15">
      <c r="A21" s="276" t="s">
        <v>178</v>
      </c>
      <c r="B21" s="279">
        <v>0</v>
      </c>
    </row>
    <row r="22" spans="1:2" ht="21" customHeight="1">
      <c r="A22" s="276" t="s">
        <v>179</v>
      </c>
      <c r="B22" s="280" t="str">
        <f>IF(B16-B17-B18&lt;0,"SEM MARGEM",B16-B17-B18)</f>
        <v>SEM MARGEM</v>
      </c>
    </row>
    <row r="23" ht="12.75">
      <c r="A23" s="58"/>
    </row>
    <row r="24" ht="12.75">
      <c r="A24" s="58"/>
    </row>
    <row r="25" ht="12.75">
      <c r="A25" s="58"/>
    </row>
    <row r="26" ht="12.75">
      <c r="A26" s="58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4">
      <selection activeCell="G22" sqref="G22"/>
    </sheetView>
  </sheetViews>
  <sheetFormatPr defaultColWidth="9.140625" defaultRowHeight="12.75"/>
  <cols>
    <col min="1" max="1" width="38.8515625" style="11" customWidth="1"/>
    <col min="2" max="2" width="15.7109375" style="11" customWidth="1"/>
    <col min="3" max="3" width="36.8515625" style="11" customWidth="1"/>
    <col min="4" max="4" width="15.7109375" style="11" customWidth="1"/>
    <col min="5" max="5" width="9.140625" style="11" customWidth="1"/>
  </cols>
  <sheetData>
    <row r="1" spans="1:4" ht="14.25">
      <c r="A1" s="656" t="str">
        <f>Parâmetros!A7</f>
        <v>Município de :Ivoti</v>
      </c>
      <c r="B1" s="654"/>
      <c r="C1" s="654"/>
      <c r="D1" s="654"/>
    </row>
    <row r="2" spans="1:4" ht="14.25">
      <c r="A2" s="654" t="s">
        <v>36</v>
      </c>
      <c r="B2" s="654"/>
      <c r="C2" s="654"/>
      <c r="D2" s="654"/>
    </row>
    <row r="3" spans="1:4" ht="14.25">
      <c r="A3" s="654" t="s">
        <v>159</v>
      </c>
      <c r="B3" s="654"/>
      <c r="C3" s="654"/>
      <c r="D3" s="654"/>
    </row>
    <row r="4" spans="1:4" ht="15">
      <c r="A4" s="657" t="s">
        <v>111</v>
      </c>
      <c r="B4" s="657"/>
      <c r="C4" s="657"/>
      <c r="D4" s="657"/>
    </row>
    <row r="5" spans="1:4" ht="14.25">
      <c r="A5" s="654" t="s">
        <v>569</v>
      </c>
      <c r="B5" s="654"/>
      <c r="C5" s="654"/>
      <c r="D5" s="654"/>
    </row>
    <row r="6" spans="1:4" ht="14.25">
      <c r="A6" s="655"/>
      <c r="B6" s="655"/>
      <c r="C6" s="655"/>
      <c r="D6" s="655"/>
    </row>
    <row r="7" spans="1:4" ht="14.25">
      <c r="A7" s="647" t="s">
        <v>470</v>
      </c>
      <c r="B7" s="647"/>
      <c r="C7" s="648">
        <v>1</v>
      </c>
      <c r="D7" s="648"/>
    </row>
    <row r="8" spans="1:4" ht="15">
      <c r="A8" s="650" t="s">
        <v>160</v>
      </c>
      <c r="B8" s="650"/>
      <c r="C8" s="650" t="s">
        <v>112</v>
      </c>
      <c r="D8" s="650"/>
    </row>
    <row r="9" spans="1:4" ht="15">
      <c r="A9" s="281" t="s">
        <v>113</v>
      </c>
      <c r="B9" s="281" t="s">
        <v>57</v>
      </c>
      <c r="C9" s="281" t="s">
        <v>113</v>
      </c>
      <c r="D9" s="281" t="s">
        <v>57</v>
      </c>
    </row>
    <row r="10" spans="1:4" ht="14.25">
      <c r="A10" s="282" t="s">
        <v>161</v>
      </c>
      <c r="B10" s="283">
        <v>0</v>
      </c>
      <c r="C10" s="284"/>
      <c r="D10" s="283"/>
    </row>
    <row r="11" spans="1:4" ht="28.5">
      <c r="A11" s="282" t="s">
        <v>162</v>
      </c>
      <c r="B11" s="283"/>
      <c r="C11" s="284"/>
      <c r="D11" s="283"/>
    </row>
    <row r="12" spans="1:4" ht="14.25">
      <c r="A12" s="282" t="s">
        <v>163</v>
      </c>
      <c r="B12" s="283"/>
      <c r="C12" s="284"/>
      <c r="D12" s="283"/>
    </row>
    <row r="13" spans="1:4" ht="14.25">
      <c r="A13" s="282" t="s">
        <v>164</v>
      </c>
      <c r="B13" s="283"/>
      <c r="C13" s="284"/>
      <c r="D13" s="283"/>
    </row>
    <row r="14" spans="1:4" ht="14.25">
      <c r="A14" s="282" t="s">
        <v>165</v>
      </c>
      <c r="B14" s="283">
        <v>0</v>
      </c>
      <c r="C14" s="284"/>
      <c r="D14" s="283"/>
    </row>
    <row r="15" spans="1:4" ht="14.25">
      <c r="A15" s="282" t="s">
        <v>166</v>
      </c>
      <c r="B15" s="283"/>
      <c r="C15" s="284"/>
      <c r="D15" s="283"/>
    </row>
    <row r="16" spans="1:4" ht="15">
      <c r="A16" s="285" t="s">
        <v>167</v>
      </c>
      <c r="B16" s="286">
        <f>SUM(B10:B15)</f>
        <v>0</v>
      </c>
      <c r="C16" s="287" t="s">
        <v>167</v>
      </c>
      <c r="D16" s="288">
        <f>SUM(D10:D15)</f>
        <v>0</v>
      </c>
    </row>
    <row r="17" spans="1:4" ht="14.25">
      <c r="A17" s="651"/>
      <c r="B17" s="651"/>
      <c r="C17" s="652"/>
      <c r="D17" s="653"/>
    </row>
    <row r="18" spans="1:4" ht="15">
      <c r="A18" s="649" t="s">
        <v>168</v>
      </c>
      <c r="B18" s="649"/>
      <c r="C18" s="650" t="s">
        <v>112</v>
      </c>
      <c r="D18" s="650"/>
    </row>
    <row r="19" spans="1:4" ht="15">
      <c r="A19" s="281" t="s">
        <v>113</v>
      </c>
      <c r="B19" s="281" t="s">
        <v>57</v>
      </c>
      <c r="C19" s="281" t="s">
        <v>113</v>
      </c>
      <c r="D19" s="281" t="s">
        <v>57</v>
      </c>
    </row>
    <row r="20" spans="1:4" ht="14.25">
      <c r="A20" s="282" t="s">
        <v>169</v>
      </c>
      <c r="B20" s="283"/>
      <c r="C20" s="284"/>
      <c r="D20" s="283"/>
    </row>
    <row r="21" spans="1:4" ht="14.25">
      <c r="A21" s="282" t="s">
        <v>170</v>
      </c>
      <c r="B21" s="283"/>
      <c r="C21" s="284"/>
      <c r="D21" s="283"/>
    </row>
    <row r="22" spans="1:4" ht="14.25">
      <c r="A22" s="282" t="s">
        <v>171</v>
      </c>
      <c r="B22" s="283"/>
      <c r="C22" s="284"/>
      <c r="D22" s="283"/>
    </row>
    <row r="23" spans="1:4" ht="14.25">
      <c r="A23" s="282" t="s">
        <v>172</v>
      </c>
      <c r="B23" s="283"/>
      <c r="C23" s="284"/>
      <c r="D23" s="283"/>
    </row>
    <row r="24" spans="1:4" ht="14.25">
      <c r="A24" s="282" t="s">
        <v>167</v>
      </c>
      <c r="B24" s="289">
        <f>SUM(B20:B23)</f>
        <v>0</v>
      </c>
      <c r="C24" s="282" t="s">
        <v>167</v>
      </c>
      <c r="D24" s="289">
        <f>SUM(D20:D23)</f>
        <v>0</v>
      </c>
    </row>
    <row r="25" spans="1:4" ht="15">
      <c r="A25" s="287" t="s">
        <v>89</v>
      </c>
      <c r="B25" s="288">
        <f>B16+B24</f>
        <v>0</v>
      </c>
      <c r="C25" s="287" t="s">
        <v>89</v>
      </c>
      <c r="D25" s="288">
        <f>D16+D24</f>
        <v>0</v>
      </c>
    </row>
  </sheetData>
  <sheetProtection/>
  <mergeCells count="14">
    <mergeCell ref="A5:D5"/>
    <mergeCell ref="A6:D6"/>
    <mergeCell ref="A1:D1"/>
    <mergeCell ref="A2:D2"/>
    <mergeCell ref="A3:D3"/>
    <mergeCell ref="A4:D4"/>
    <mergeCell ref="A7:B7"/>
    <mergeCell ref="C7:D7"/>
    <mergeCell ref="A18:B18"/>
    <mergeCell ref="C18:D18"/>
    <mergeCell ref="A8:B8"/>
    <mergeCell ref="C8:D8"/>
    <mergeCell ref="A17:B17"/>
    <mergeCell ref="C17:D17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3">
      <selection activeCell="C78" sqref="C78"/>
    </sheetView>
  </sheetViews>
  <sheetFormatPr defaultColWidth="9.140625" defaultRowHeight="12.75"/>
  <cols>
    <col min="1" max="1" width="7.28125" style="0" customWidth="1"/>
    <col min="2" max="2" width="57.00390625" style="0" bestFit="1" customWidth="1"/>
    <col min="3" max="3" width="16.8515625" style="0" bestFit="1" customWidth="1"/>
  </cols>
  <sheetData>
    <row r="1" spans="1:3" ht="12.75">
      <c r="A1" s="658" t="s">
        <v>575</v>
      </c>
      <c r="B1" s="659"/>
      <c r="C1" s="660"/>
    </row>
    <row r="2" spans="1:3" ht="12.75">
      <c r="A2" s="661" t="s">
        <v>183</v>
      </c>
      <c r="B2" s="442"/>
      <c r="C2" s="662"/>
    </row>
    <row r="3" spans="1:3" ht="12.75">
      <c r="A3" s="64"/>
      <c r="B3" s="65"/>
      <c r="C3" s="66"/>
    </row>
    <row r="4" spans="1:3" ht="12.75">
      <c r="A4" s="663"/>
      <c r="B4" s="664"/>
      <c r="C4" s="66"/>
    </row>
    <row r="5" spans="1:3" ht="12.75">
      <c r="A5" s="663"/>
      <c r="B5" s="442"/>
      <c r="C5" s="66"/>
    </row>
    <row r="6" spans="1:3" ht="13.5" thickBot="1">
      <c r="A6" s="67"/>
      <c r="B6" s="68"/>
      <c r="C6" s="69"/>
    </row>
    <row r="7" spans="1:3" ht="12.75" customHeight="1">
      <c r="A7" s="665" t="s">
        <v>184</v>
      </c>
      <c r="B7" s="70" t="s">
        <v>185</v>
      </c>
      <c r="C7" s="70"/>
    </row>
    <row r="8" spans="1:3" ht="12.75">
      <c r="A8" s="666"/>
      <c r="B8" s="71"/>
      <c r="C8" s="71">
        <v>2018</v>
      </c>
    </row>
    <row r="9" spans="1:3" ht="12.75">
      <c r="A9" s="666"/>
      <c r="B9" s="71" t="s">
        <v>186</v>
      </c>
      <c r="C9" s="431"/>
    </row>
    <row r="10" spans="1:3" ht="12.75">
      <c r="A10" s="432" t="s">
        <v>634</v>
      </c>
      <c r="B10" s="433" t="s">
        <v>635</v>
      </c>
      <c r="C10" s="434">
        <f>'[2]Anexo IV -Projetos e Atividades'!$D$8</f>
        <v>970000</v>
      </c>
    </row>
    <row r="11" spans="1:3" ht="12.75">
      <c r="A11" s="432" t="s">
        <v>634</v>
      </c>
      <c r="B11" s="435" t="s">
        <v>636</v>
      </c>
      <c r="C11" s="434">
        <f>'[2]Anexo IV -Projetos e Atividades'!$D$12</f>
        <v>1080000</v>
      </c>
    </row>
    <row r="12" spans="1:3" ht="12.75">
      <c r="A12" s="432" t="s">
        <v>634</v>
      </c>
      <c r="B12" s="435" t="s">
        <v>637</v>
      </c>
      <c r="C12" s="434">
        <v>100000</v>
      </c>
    </row>
    <row r="13" spans="1:3" ht="12.75">
      <c r="A13" s="432" t="s">
        <v>634</v>
      </c>
      <c r="B13" s="435" t="s">
        <v>638</v>
      </c>
      <c r="C13" s="434">
        <v>200000</v>
      </c>
    </row>
    <row r="14" spans="1:3" ht="12.75">
      <c r="A14" s="432" t="s">
        <v>634</v>
      </c>
      <c r="B14" s="435" t="s">
        <v>640</v>
      </c>
      <c r="C14" s="434">
        <f>'[2]Anexo IV -Projetos e Atividades'!$D$19</f>
        <v>1260000</v>
      </c>
    </row>
    <row r="15" spans="1:3" ht="12.75">
      <c r="A15" s="432" t="s">
        <v>639</v>
      </c>
      <c r="B15" s="435" t="s">
        <v>703</v>
      </c>
      <c r="C15" s="434">
        <f>'[2]Anexo IV -Projetos e Atividades'!$D$21</f>
        <v>218000</v>
      </c>
    </row>
    <row r="16" spans="1:3" ht="12.75">
      <c r="A16" s="432" t="s">
        <v>639</v>
      </c>
      <c r="B16" s="435" t="s">
        <v>704</v>
      </c>
      <c r="C16" s="434">
        <f>'[2]Anexo IV -Projetos e Atividades'!$D$22</f>
        <v>200000</v>
      </c>
    </row>
    <row r="17" spans="1:3" ht="12.75">
      <c r="A17" s="432" t="s">
        <v>639</v>
      </c>
      <c r="B17" s="435" t="s">
        <v>641</v>
      </c>
      <c r="C17" s="434">
        <f>'[2]Anexo IV -Projetos e Atividades'!$D$23</f>
        <v>737000</v>
      </c>
    </row>
    <row r="18" spans="1:3" ht="12.75">
      <c r="A18" s="432" t="s">
        <v>639</v>
      </c>
      <c r="B18" s="435" t="s">
        <v>642</v>
      </c>
      <c r="C18" s="434">
        <f>'[2]Anexo IV -Projetos e Atividades'!$D$24</f>
        <v>500000</v>
      </c>
    </row>
    <row r="19" spans="1:3" ht="12.75">
      <c r="A19" s="432" t="s">
        <v>634</v>
      </c>
      <c r="B19" s="435" t="s">
        <v>643</v>
      </c>
      <c r="C19" s="434">
        <f>'[2]Anexo IV -Projetos e Atividades'!$D$28</f>
        <v>360000</v>
      </c>
    </row>
    <row r="20" spans="1:3" ht="12.75">
      <c r="A20" s="432" t="s">
        <v>634</v>
      </c>
      <c r="B20" s="435" t="s">
        <v>644</v>
      </c>
      <c r="C20" s="434">
        <v>220000</v>
      </c>
    </row>
    <row r="21" spans="1:3" ht="12.75">
      <c r="A21" s="432" t="s">
        <v>634</v>
      </c>
      <c r="B21" s="435" t="s">
        <v>645</v>
      </c>
      <c r="C21" s="434">
        <v>290000</v>
      </c>
    </row>
    <row r="22" spans="1:3" ht="12.75">
      <c r="A22" s="432" t="s">
        <v>634</v>
      </c>
      <c r="B22" s="435" t="s">
        <v>646</v>
      </c>
      <c r="C22" s="434">
        <f>'[2]Anexo IV -Projetos e Atividades'!$D$31</f>
        <v>60000</v>
      </c>
    </row>
    <row r="23" spans="1:3" ht="12.75">
      <c r="A23" s="432" t="s">
        <v>634</v>
      </c>
      <c r="B23" s="435" t="s">
        <v>647</v>
      </c>
      <c r="C23" s="434">
        <v>250000</v>
      </c>
    </row>
    <row r="24" spans="1:3" ht="12.75">
      <c r="A24" s="432" t="s">
        <v>634</v>
      </c>
      <c r="B24" s="435" t="s">
        <v>648</v>
      </c>
      <c r="C24" s="434">
        <f>'[3]Anexo IV -Projetos e Atividades'!$D$36</f>
        <v>1730000</v>
      </c>
    </row>
    <row r="25" spans="1:3" ht="12.75">
      <c r="A25" s="432" t="s">
        <v>634</v>
      </c>
      <c r="B25" s="435" t="s">
        <v>649</v>
      </c>
      <c r="C25" s="434">
        <f>'[3]Anexo IV -Projetos e Atividades'!$D$37</f>
        <v>100000</v>
      </c>
    </row>
    <row r="26" spans="1:3" ht="12.75">
      <c r="A26" s="432" t="s">
        <v>634</v>
      </c>
      <c r="B26" s="435" t="s">
        <v>650</v>
      </c>
      <c r="C26" s="434">
        <v>400000</v>
      </c>
    </row>
    <row r="27" spans="1:3" ht="12.75">
      <c r="A27" s="432" t="s">
        <v>634</v>
      </c>
      <c r="B27" s="435" t="s">
        <v>651</v>
      </c>
      <c r="C27" s="434">
        <v>3900000</v>
      </c>
    </row>
    <row r="28" spans="1:3" ht="12.75">
      <c r="A28" s="432" t="s">
        <v>634</v>
      </c>
      <c r="B28" s="435" t="s">
        <v>652</v>
      </c>
      <c r="C28" s="434">
        <f>'[3]Anexo IV -Projetos e Atividades'!$D$40</f>
        <v>6870000</v>
      </c>
    </row>
    <row r="29" spans="1:3" ht="12.75">
      <c r="A29" s="432" t="s">
        <v>634</v>
      </c>
      <c r="B29" s="435" t="s">
        <v>653</v>
      </c>
      <c r="C29" s="434">
        <f>'[3]Anexo IV -Projetos e Atividades'!$D$41</f>
        <v>886000</v>
      </c>
    </row>
    <row r="30" spans="1:3" ht="12.75">
      <c r="A30" s="432" t="s">
        <v>634</v>
      </c>
      <c r="B30" s="435" t="s">
        <v>654</v>
      </c>
      <c r="C30" s="434">
        <v>2400000</v>
      </c>
    </row>
    <row r="31" spans="1:3" ht="12.75">
      <c r="A31" s="432" t="s">
        <v>634</v>
      </c>
      <c r="B31" s="435" t="s">
        <v>655</v>
      </c>
      <c r="C31" s="434">
        <f>'[3]Anexo IV -Projetos e Atividades'!$D$44</f>
        <v>9700000</v>
      </c>
    </row>
    <row r="32" spans="1:3" ht="12.75">
      <c r="A32" s="436" t="s">
        <v>634</v>
      </c>
      <c r="B32" s="435" t="s">
        <v>656</v>
      </c>
      <c r="C32" s="434">
        <f>'[3]Anexo IV -Projetos e Atividades'!$D$45</f>
        <v>560000</v>
      </c>
    </row>
    <row r="33" spans="1:3" ht="12.75">
      <c r="A33" s="437" t="s">
        <v>634</v>
      </c>
      <c r="B33" s="435" t="s">
        <v>657</v>
      </c>
      <c r="C33" s="434">
        <v>600000</v>
      </c>
    </row>
    <row r="34" spans="1:3" ht="12.75">
      <c r="A34" s="437" t="s">
        <v>634</v>
      </c>
      <c r="B34" s="435" t="s">
        <v>658</v>
      </c>
      <c r="C34" s="434">
        <v>450000</v>
      </c>
    </row>
    <row r="35" spans="1:3" ht="12.75">
      <c r="A35" s="437" t="s">
        <v>634</v>
      </c>
      <c r="B35" s="438" t="s">
        <v>659</v>
      </c>
      <c r="C35" s="434">
        <f>'[3]Anexo IV -Projetos e Atividades'!$D$48</f>
        <v>220000</v>
      </c>
    </row>
    <row r="36" spans="1:3" ht="12.75">
      <c r="A36" s="437" t="s">
        <v>634</v>
      </c>
      <c r="B36" s="435" t="s">
        <v>660</v>
      </c>
      <c r="C36" s="434">
        <v>100000</v>
      </c>
    </row>
    <row r="37" spans="1:3" ht="12.75">
      <c r="A37" s="437" t="s">
        <v>634</v>
      </c>
      <c r="B37" s="435" t="s">
        <v>661</v>
      </c>
      <c r="C37" s="434">
        <f>'[3]Anexo IV -Projetos e Atividades'!$D$50</f>
        <v>220000</v>
      </c>
    </row>
    <row r="38" spans="1:3" ht="12.75">
      <c r="A38" s="437" t="s">
        <v>639</v>
      </c>
      <c r="B38" s="435" t="s">
        <v>705</v>
      </c>
      <c r="C38" s="434">
        <f>'[3]Anexo IV -Projetos e Atividades'!$D$51</f>
        <v>140000</v>
      </c>
    </row>
    <row r="39" spans="1:3" ht="12.75">
      <c r="A39" s="437" t="s">
        <v>634</v>
      </c>
      <c r="B39" s="435" t="s">
        <v>662</v>
      </c>
      <c r="C39" s="434">
        <f>'[3]Anexo IV -Projetos e Atividades'!$D$52</f>
        <v>500000</v>
      </c>
    </row>
    <row r="40" spans="1:3" ht="12.75">
      <c r="A40" s="437" t="s">
        <v>634</v>
      </c>
      <c r="B40" s="438" t="s">
        <v>663</v>
      </c>
      <c r="C40" s="434">
        <v>740000</v>
      </c>
    </row>
    <row r="41" spans="1:3" ht="12.75">
      <c r="A41" s="437" t="s">
        <v>634</v>
      </c>
      <c r="B41" s="435" t="s">
        <v>664</v>
      </c>
      <c r="C41" s="434">
        <f>'[3]Anexo IV -Projetos e Atividades'!$D$57</f>
        <v>4100000</v>
      </c>
    </row>
    <row r="42" spans="1:3" ht="12.75">
      <c r="A42" s="437" t="s">
        <v>634</v>
      </c>
      <c r="B42" s="435" t="s">
        <v>665</v>
      </c>
      <c r="C42" s="434">
        <v>600000</v>
      </c>
    </row>
    <row r="43" spans="1:3" ht="12.75">
      <c r="A43" s="437" t="s">
        <v>634</v>
      </c>
      <c r="B43" s="435" t="s">
        <v>666</v>
      </c>
      <c r="C43" s="434">
        <v>1000000</v>
      </c>
    </row>
    <row r="44" spans="1:3" ht="12.75">
      <c r="A44" s="437" t="s">
        <v>634</v>
      </c>
      <c r="B44" s="435" t="s">
        <v>667</v>
      </c>
      <c r="C44" s="434">
        <v>460000</v>
      </c>
    </row>
    <row r="45" spans="1:3" ht="13.5" customHeight="1">
      <c r="A45" s="437" t="s">
        <v>634</v>
      </c>
      <c r="B45" s="435" t="s">
        <v>668</v>
      </c>
      <c r="C45" s="434">
        <v>250000</v>
      </c>
    </row>
    <row r="46" spans="1:3" ht="12.75">
      <c r="A46" s="437" t="s">
        <v>634</v>
      </c>
      <c r="B46" s="435" t="s">
        <v>669</v>
      </c>
      <c r="C46" s="434">
        <f>'[3]Anexo IV -Projetos e Atividades'!$D$62</f>
        <v>2380000</v>
      </c>
    </row>
    <row r="47" spans="1:3" ht="12.75">
      <c r="A47" s="439" t="s">
        <v>639</v>
      </c>
      <c r="B47" s="435" t="s">
        <v>670</v>
      </c>
      <c r="C47" s="434">
        <v>50000</v>
      </c>
    </row>
    <row r="48" spans="1:3" ht="12.75">
      <c r="A48" s="437" t="s">
        <v>634</v>
      </c>
      <c r="B48" s="435" t="s">
        <v>671</v>
      </c>
      <c r="C48" s="434">
        <f>'[3]Anexo IV -Projetos e Atividades'!$D$67</f>
        <v>730000</v>
      </c>
    </row>
    <row r="49" spans="1:3" ht="12.75">
      <c r="A49" s="437" t="s">
        <v>634</v>
      </c>
      <c r="B49" s="435" t="s">
        <v>672</v>
      </c>
      <c r="C49" s="434">
        <v>60000</v>
      </c>
    </row>
    <row r="50" spans="1:3" ht="12.75">
      <c r="A50" s="437" t="s">
        <v>634</v>
      </c>
      <c r="B50" s="435" t="s">
        <v>673</v>
      </c>
      <c r="C50" s="434">
        <v>30000</v>
      </c>
    </row>
    <row r="51" spans="1:3" ht="12.75">
      <c r="A51" s="437" t="s">
        <v>634</v>
      </c>
      <c r="B51" s="435" t="s">
        <v>674</v>
      </c>
      <c r="C51" s="434">
        <v>40000</v>
      </c>
    </row>
    <row r="52" spans="1:3" ht="12.75">
      <c r="A52" s="437" t="s">
        <v>634</v>
      </c>
      <c r="B52" s="435" t="s">
        <v>675</v>
      </c>
      <c r="C52" s="434">
        <f>'[3]Anexo IV -Projetos e Atividades'!$D$71</f>
        <v>140000</v>
      </c>
    </row>
    <row r="53" spans="1:3" ht="12.75">
      <c r="A53" s="437" t="s">
        <v>634</v>
      </c>
      <c r="B53" s="435" t="s">
        <v>676</v>
      </c>
      <c r="C53" s="434">
        <v>45000</v>
      </c>
    </row>
    <row r="54" spans="1:3" ht="12.75">
      <c r="A54" s="437" t="s">
        <v>634</v>
      </c>
      <c r="B54" s="435" t="s">
        <v>677</v>
      </c>
      <c r="C54" s="434">
        <f>'[3]Anexo IV -Projetos e Atividades'!$D$73</f>
        <v>37000</v>
      </c>
    </row>
    <row r="55" spans="1:3" ht="12.75">
      <c r="A55" s="437" t="s">
        <v>634</v>
      </c>
      <c r="B55" s="435" t="s">
        <v>678</v>
      </c>
      <c r="C55" s="434">
        <v>12000</v>
      </c>
    </row>
    <row r="56" spans="1:3" ht="12.75">
      <c r="A56" s="437" t="s">
        <v>634</v>
      </c>
      <c r="B56" s="435" t="s">
        <v>679</v>
      </c>
      <c r="C56" s="434">
        <f>'[3]Anexo IV -Projetos e Atividades'!$D$78</f>
        <v>1320000</v>
      </c>
    </row>
    <row r="57" spans="1:3" ht="12.75">
      <c r="A57" s="436" t="s">
        <v>680</v>
      </c>
      <c r="B57" s="435" t="s">
        <v>681</v>
      </c>
      <c r="C57" s="434">
        <f>'[3]Anexo IV -Projetos e Atividades'!$D$79</f>
        <v>1200000</v>
      </c>
    </row>
    <row r="58" spans="1:3" ht="12.75">
      <c r="A58" s="437" t="s">
        <v>634</v>
      </c>
      <c r="B58" s="435" t="s">
        <v>682</v>
      </c>
      <c r="C58" s="434">
        <v>50000</v>
      </c>
    </row>
    <row r="59" spans="1:3" ht="12.75">
      <c r="A59" s="437" t="s">
        <v>680</v>
      </c>
      <c r="B59" s="435" t="s">
        <v>683</v>
      </c>
      <c r="C59" s="434">
        <f>'[3]Anexo IV -Projetos e Atividades'!$D$81</f>
        <v>3851000</v>
      </c>
    </row>
    <row r="60" spans="1:3" ht="12.75">
      <c r="A60" s="437" t="s">
        <v>634</v>
      </c>
      <c r="B60" s="435" t="s">
        <v>684</v>
      </c>
      <c r="C60" s="434">
        <f>'[3]Anexo IV -Projetos e Atividades'!$D$85</f>
        <v>8790000</v>
      </c>
    </row>
    <row r="61" spans="1:3" ht="12.75">
      <c r="A61" s="437" t="s">
        <v>634</v>
      </c>
      <c r="B61" s="435" t="s">
        <v>685</v>
      </c>
      <c r="C61" s="434">
        <f>'[3]Anexo IV -Projetos e Atividades'!$D$86</f>
        <v>65000</v>
      </c>
    </row>
    <row r="62" spans="1:3" ht="12.75">
      <c r="A62" s="437" t="s">
        <v>634</v>
      </c>
      <c r="B62" s="435" t="s">
        <v>686</v>
      </c>
      <c r="C62" s="434">
        <f>'[3]Anexo IV -Projetos e Atividades'!$D$87</f>
        <v>1510000</v>
      </c>
    </row>
    <row r="63" spans="1:3" ht="12.75">
      <c r="A63" s="437" t="s">
        <v>634</v>
      </c>
      <c r="B63" s="435" t="s">
        <v>687</v>
      </c>
      <c r="C63" s="434">
        <v>200000</v>
      </c>
    </row>
    <row r="64" spans="1:3" ht="12.75">
      <c r="A64" s="437" t="s">
        <v>634</v>
      </c>
      <c r="B64" s="435" t="s">
        <v>688</v>
      </c>
      <c r="C64" s="434">
        <v>1800000</v>
      </c>
    </row>
    <row r="65" spans="1:3" ht="12.75">
      <c r="A65" s="437" t="s">
        <v>634</v>
      </c>
      <c r="B65" s="435" t="s">
        <v>689</v>
      </c>
      <c r="C65" s="434">
        <f>'[3]Anexo IV -Projetos e Atividades'!$D$90</f>
        <v>650000</v>
      </c>
    </row>
    <row r="66" spans="1:3" ht="12.75">
      <c r="A66" s="437" t="s">
        <v>634</v>
      </c>
      <c r="B66" s="435" t="s">
        <v>690</v>
      </c>
      <c r="C66" s="434">
        <f>'[3]Anexo IV -Projetos e Atividades'!$D$91</f>
        <v>35000</v>
      </c>
    </row>
    <row r="67" spans="1:3" ht="12.75">
      <c r="A67" s="437" t="s">
        <v>634</v>
      </c>
      <c r="B67" s="435" t="s">
        <v>691</v>
      </c>
      <c r="C67" s="434">
        <f>'[3]Anexo IV -Projetos e Atividades'!$D$92</f>
        <v>45000</v>
      </c>
    </row>
    <row r="68" spans="1:3" ht="12.75">
      <c r="A68" s="437" t="s">
        <v>634</v>
      </c>
      <c r="B68" s="440" t="s">
        <v>692</v>
      </c>
      <c r="C68" s="434">
        <f>'[3]Anexo IV -Projetos e Atividades'!$D$98</f>
        <v>200000</v>
      </c>
    </row>
    <row r="69" spans="1:3" ht="12.75">
      <c r="A69" s="436" t="s">
        <v>634</v>
      </c>
      <c r="B69" s="435" t="s">
        <v>693</v>
      </c>
      <c r="C69" s="434">
        <f>'[3]Anexo IV -Projetos e Atividades'!$D$93</f>
        <v>250000</v>
      </c>
    </row>
    <row r="70" spans="1:3" ht="12.75">
      <c r="A70" s="437" t="s">
        <v>634</v>
      </c>
      <c r="B70" s="435" t="s">
        <v>694</v>
      </c>
      <c r="C70" s="434">
        <f>'[3]Anexo IV -Projetos e Atividades'!$D$94</f>
        <v>710000</v>
      </c>
    </row>
    <row r="71" spans="1:3" ht="12.75">
      <c r="A71" s="437" t="s">
        <v>634</v>
      </c>
      <c r="B71" s="435" t="s">
        <v>695</v>
      </c>
      <c r="C71" s="434">
        <f>'[3]Anexo IV -Projetos e Atividades'!$D$95</f>
        <v>65000</v>
      </c>
    </row>
    <row r="72" spans="1:3" ht="12.75">
      <c r="A72" s="437" t="s">
        <v>634</v>
      </c>
      <c r="B72" s="435" t="s">
        <v>696</v>
      </c>
      <c r="C72" s="434">
        <f>'[3]Anexo IV -Projetos e Atividades'!$D$96</f>
        <v>55000</v>
      </c>
    </row>
    <row r="73" spans="1:3" ht="12.75">
      <c r="A73" s="437" t="s">
        <v>634</v>
      </c>
      <c r="B73" s="435" t="s">
        <v>697</v>
      </c>
      <c r="C73" s="434">
        <v>15000</v>
      </c>
    </row>
    <row r="74" spans="1:3" ht="12.75">
      <c r="A74" s="436" t="s">
        <v>634</v>
      </c>
      <c r="B74" s="435" t="s">
        <v>698</v>
      </c>
      <c r="C74" s="434">
        <f>'[3]Anexo IV -Projetos e Atividades'!$D$107</f>
        <v>4000000</v>
      </c>
    </row>
    <row r="75" spans="1:3" ht="12.75">
      <c r="A75" s="437" t="s">
        <v>634</v>
      </c>
      <c r="B75" s="435" t="s">
        <v>699</v>
      </c>
      <c r="C75" s="434">
        <f>'[3]Anexo IV -Projetos e Atividades'!$D$114</f>
        <v>1900000</v>
      </c>
    </row>
    <row r="76" spans="1:3" ht="12.75">
      <c r="A76" s="437" t="s">
        <v>634</v>
      </c>
      <c r="B76" s="435" t="s">
        <v>700</v>
      </c>
      <c r="C76" s="434">
        <f>'[3]Anexo IV -Projetos e Atividades'!$D$115</f>
        <v>4950000</v>
      </c>
    </row>
    <row r="77" spans="1:3" ht="12.75">
      <c r="A77" s="437" t="s">
        <v>634</v>
      </c>
      <c r="B77" s="435" t="s">
        <v>701</v>
      </c>
      <c r="C77" s="434">
        <f>'[3]Anexo IV -Projetos e Atividades'!$D$116</f>
        <v>850000</v>
      </c>
    </row>
    <row r="78" spans="1:3" ht="13.5" thickBot="1">
      <c r="A78" s="667" t="s">
        <v>702</v>
      </c>
      <c r="B78" s="668"/>
      <c r="C78" s="434">
        <f>SUM(C10:C77)</f>
        <v>78406000</v>
      </c>
    </row>
    <row r="79" spans="1:2" ht="12.75">
      <c r="A79" s="72" t="s">
        <v>187</v>
      </c>
      <c r="B79" s="72" t="s">
        <v>188</v>
      </c>
    </row>
  </sheetData>
  <sheetProtection/>
  <mergeCells count="6">
    <mergeCell ref="A1:C1"/>
    <mergeCell ref="A2:C2"/>
    <mergeCell ref="A4:B4"/>
    <mergeCell ref="A5:B5"/>
    <mergeCell ref="A7:A9"/>
    <mergeCell ref="A78:B7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FU305"/>
  <sheetViews>
    <sheetView zoomScale="75" zoomScaleNormal="75" zoomScaleSheetLayoutView="30" workbookViewId="0" topLeftCell="A89">
      <selection activeCell="F28" sqref="F28"/>
    </sheetView>
  </sheetViews>
  <sheetFormatPr defaultColWidth="19.140625" defaultRowHeight="12.75"/>
  <cols>
    <col min="1" max="1" width="27.7109375" style="4" customWidth="1"/>
    <col min="2" max="2" width="58.140625" style="4" customWidth="1"/>
    <col min="3" max="6" width="20.7109375" style="4" customWidth="1"/>
    <col min="7" max="7" width="22.421875" style="4" customWidth="1"/>
    <col min="8" max="8" width="22.8515625" style="4" customWidth="1"/>
    <col min="9" max="9" width="23.00390625" style="4" customWidth="1"/>
    <col min="10" max="177" width="19.140625" style="96" customWidth="1"/>
    <col min="178" max="16384" width="19.140625" style="4" customWidth="1"/>
  </cols>
  <sheetData>
    <row r="1" spans="1:177" s="2" customFormat="1" ht="17.25" customHeight="1">
      <c r="A1" s="451" t="str">
        <f>Parâmetros!A7</f>
        <v>Município de :Ivoti</v>
      </c>
      <c r="B1" s="452"/>
      <c r="C1" s="452"/>
      <c r="D1" s="452"/>
      <c r="E1" s="452"/>
      <c r="F1" s="452"/>
      <c r="G1" s="452"/>
      <c r="H1" s="452"/>
      <c r="I1" s="452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</row>
    <row r="2" spans="1:177" s="2" customFormat="1" ht="30" customHeight="1">
      <c r="A2" s="453">
        <v>70464.3</v>
      </c>
      <c r="B2" s="452"/>
      <c r="C2" s="452"/>
      <c r="D2" s="452"/>
      <c r="E2" s="452"/>
      <c r="F2" s="452"/>
      <c r="G2" s="452"/>
      <c r="H2" s="452"/>
      <c r="I2" s="452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</row>
    <row r="3" spans="1:177" s="2" customFormat="1" ht="19.5" customHeight="1">
      <c r="A3" s="454" t="s">
        <v>457</v>
      </c>
      <c r="B3" s="452"/>
      <c r="C3" s="452"/>
      <c r="D3" s="452"/>
      <c r="E3" s="452"/>
      <c r="F3" s="452"/>
      <c r="G3" s="452"/>
      <c r="H3" s="452"/>
      <c r="I3" s="452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</row>
    <row r="4" spans="1:177" s="2" customFormat="1" ht="15.75" hidden="1">
      <c r="A4" s="15"/>
      <c r="B4" s="16"/>
      <c r="C4" s="16"/>
      <c r="D4" s="16"/>
      <c r="E4" s="16"/>
      <c r="F4" s="16"/>
      <c r="G4" s="16"/>
      <c r="H4" s="16"/>
      <c r="I4" s="16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</row>
    <row r="5" spans="1:177" s="2" customFormat="1" ht="15.75">
      <c r="A5" s="17"/>
      <c r="B5" s="18"/>
      <c r="C5" s="18"/>
      <c r="D5" s="18"/>
      <c r="E5" s="18"/>
      <c r="F5" s="18"/>
      <c r="G5" s="18"/>
      <c r="H5" s="18"/>
      <c r="I5" s="19" t="s">
        <v>55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</row>
    <row r="6" spans="1:177" s="1" customFormat="1" ht="15.75">
      <c r="A6" s="195"/>
      <c r="B6" s="196" t="s">
        <v>0</v>
      </c>
      <c r="C6" s="197" t="s">
        <v>197</v>
      </c>
      <c r="D6" s="197" t="s">
        <v>197</v>
      </c>
      <c r="E6" s="197" t="s">
        <v>197</v>
      </c>
      <c r="F6" s="198" t="s">
        <v>127</v>
      </c>
      <c r="G6" s="198" t="s">
        <v>12</v>
      </c>
      <c r="H6" s="199" t="s">
        <v>12</v>
      </c>
      <c r="I6" s="200" t="s">
        <v>12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</row>
    <row r="7" spans="1:177" s="1" customFormat="1" ht="27.75" customHeight="1">
      <c r="A7" s="201"/>
      <c r="B7" s="202" t="s">
        <v>8</v>
      </c>
      <c r="C7" s="203">
        <f>Parâmetros!B10-1</f>
        <v>2015</v>
      </c>
      <c r="D7" s="204">
        <f aca="true" t="shared" si="0" ref="D7:I7">C7+1</f>
        <v>2016</v>
      </c>
      <c r="E7" s="204">
        <f t="shared" si="0"/>
        <v>2017</v>
      </c>
      <c r="F7" s="204">
        <f t="shared" si="0"/>
        <v>2018</v>
      </c>
      <c r="G7" s="204">
        <f t="shared" si="0"/>
        <v>2019</v>
      </c>
      <c r="H7" s="204">
        <f t="shared" si="0"/>
        <v>2020</v>
      </c>
      <c r="I7" s="204">
        <f t="shared" si="0"/>
        <v>2021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</row>
    <row r="8" spans="1:177" s="79" customFormat="1" ht="17.25" customHeight="1">
      <c r="A8" s="205" t="s">
        <v>198</v>
      </c>
      <c r="B8" s="206" t="s">
        <v>199</v>
      </c>
      <c r="C8" s="207">
        <f aca="true" t="shared" si="1" ref="C8:I8">C9+C15+C23+C34+C35+C36+C39+C66</f>
        <v>65742610.39</v>
      </c>
      <c r="D8" s="207">
        <f t="shared" si="1"/>
        <v>77235997.86</v>
      </c>
      <c r="E8" s="207">
        <f t="shared" si="1"/>
        <v>80382714.53999999</v>
      </c>
      <c r="F8" s="207">
        <f t="shared" si="1"/>
        <v>82470800</v>
      </c>
      <c r="G8" s="207">
        <f t="shared" si="1"/>
        <v>92199524.43328312</v>
      </c>
      <c r="H8" s="207">
        <f t="shared" si="1"/>
        <v>96125614.6299232</v>
      </c>
      <c r="I8" s="207">
        <f t="shared" si="1"/>
        <v>100535896.43733504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</row>
    <row r="9" spans="1:177" s="8" customFormat="1" ht="12.75">
      <c r="A9" s="208" t="s">
        <v>200</v>
      </c>
      <c r="B9" s="209" t="s">
        <v>201</v>
      </c>
      <c r="C9" s="210">
        <f aca="true" t="shared" si="2" ref="C9:I9">C10+C11+C12+C13+C14</f>
        <v>11119242.91</v>
      </c>
      <c r="D9" s="210">
        <f t="shared" si="2"/>
        <v>13579221.11</v>
      </c>
      <c r="E9" s="210">
        <f t="shared" si="2"/>
        <v>15186813.929999998</v>
      </c>
      <c r="F9" s="210">
        <f t="shared" si="2"/>
        <v>14295700</v>
      </c>
      <c r="G9" s="210">
        <f t="shared" si="2"/>
        <v>16480080.483269615</v>
      </c>
      <c r="H9" s="210">
        <f t="shared" si="2"/>
        <v>17213516.648992438</v>
      </c>
      <c r="I9" s="210">
        <f t="shared" si="2"/>
        <v>17540738.75231645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</row>
    <row r="10" spans="1:177" s="8" customFormat="1" ht="25.5">
      <c r="A10" s="211" t="s">
        <v>383</v>
      </c>
      <c r="B10" s="212" t="s">
        <v>386</v>
      </c>
      <c r="C10" s="81">
        <v>628409.51</v>
      </c>
      <c r="D10" s="81">
        <v>969760.16</v>
      </c>
      <c r="E10" s="76">
        <v>1351048.75</v>
      </c>
      <c r="F10" s="76">
        <f>'[1]Receita'!$H$18+'[1]Receita'!$H$28</f>
        <v>1387000</v>
      </c>
      <c r="G10" s="213">
        <f>(((D10*(1+Parâmetros!B11)*(1+Parâmetros!C11)*(1+Parâmetros!D11))+(E10*(1+Parâmetros!C11)*(1+Parâmetros!D11)+(F10*(1+Parâmetros!D11))))/3)*(1+Parâmetros!E11)*(1+Parâmetros!E15)</f>
        <v>1467835.570363034</v>
      </c>
      <c r="H10" s="213">
        <f>G10*(1+Parâmetros!F11)*(1+Parâmetros!F15)</f>
        <v>1533160.7181213566</v>
      </c>
      <c r="I10" s="213">
        <f>H10*(1+Parâmetros!G11)*(1+Parâmetros!G15)</f>
        <v>1562305.493424826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</row>
    <row r="11" spans="1:177" s="8" customFormat="1" ht="25.5">
      <c r="A11" s="211" t="s">
        <v>384</v>
      </c>
      <c r="B11" s="212" t="s">
        <v>387</v>
      </c>
      <c r="C11" s="81">
        <v>625.32</v>
      </c>
      <c r="D11" s="81">
        <v>720.59</v>
      </c>
      <c r="E11" s="76">
        <v>4046.02</v>
      </c>
      <c r="F11" s="76">
        <f>'[1]Receita'!$H$23</f>
        <v>0</v>
      </c>
      <c r="G11" s="213">
        <f>(((D11*(1+Parâmetros!B11)*(1+Parâmetros!C11)*(1+Parâmetros!D11))+(E11*(1+Parâmetros!C11)*(1+Parâmetros!D11)+(F11*(1+Parâmetros!D11))))/3)*(1+Parâmetros!E11)*(1+Parâmetros!E15)</f>
        <v>1900.4852856213672</v>
      </c>
      <c r="H11" s="213">
        <f>G11*(1+Parâmetros!F11)*(1+Parâmetros!F15)</f>
        <v>1985.0652512540494</v>
      </c>
      <c r="I11" s="213">
        <f>H11*(1+Parâmetros!G11)*(1+Parâmetros!G15)</f>
        <v>2022.8005519480403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</row>
    <row r="12" spans="1:177" s="8" customFormat="1" ht="15">
      <c r="A12" s="211" t="s">
        <v>202</v>
      </c>
      <c r="B12" s="212" t="s">
        <v>385</v>
      </c>
      <c r="C12" s="81">
        <f>8501338.4+510844.75</f>
        <v>9012183.15</v>
      </c>
      <c r="D12" s="81">
        <f>10060296.72+701947.45</f>
        <v>10762244.17</v>
      </c>
      <c r="E12" s="76">
        <f>10714078.12+1031152.68</f>
        <v>11745230.799999999</v>
      </c>
      <c r="F12" s="76">
        <f>'[1]Receita'!$H$34+'[1]Receita'!$H$49+'[1]Receita'!$H$54+'[1]Receita'!$H$59+'[1]Receita'!$H$82+'[1]Receita'!$H$95+'[1]Receita'!$H$103+'[1]Receita'!$H$116+'[1]Receita'!$H$136+'[1]Receita'!$H$152</f>
        <v>10839000</v>
      </c>
      <c r="G12" s="213">
        <f>(((D12*(1+Parâmetros!B11)*(1+Parâmetros!C11)*(1+Parâmetros!D11))+(E12*(1+Parâmetros!C11)*(1+Parâmetros!D11)+(F12*(1+Parâmetros!D11))))/3)*(1+Parâmetros!E11)</f>
        <v>12624532.864080226</v>
      </c>
      <c r="H12" s="213">
        <f>G12*(1+Parâmetros!F11)*(1+Parâmetros!F15)</f>
        <v>13186380.17952706</v>
      </c>
      <c r="I12" s="213">
        <f>H12*(1+Parâmetros!G11)*(1+Parâmetros!G15)</f>
        <v>13437048.02071031</v>
      </c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</row>
    <row r="13" spans="1:177" s="8" customFormat="1" ht="12" customHeight="1">
      <c r="A13" s="211" t="s">
        <v>203</v>
      </c>
      <c r="B13" s="212" t="s">
        <v>204</v>
      </c>
      <c r="C13" s="81">
        <f>1415295.2+62215.83</f>
        <v>1477511.03</v>
      </c>
      <c r="D13" s="81">
        <f>1789624.21+56586.05</f>
        <v>1846210.26</v>
      </c>
      <c r="E13" s="76">
        <f>2068609.78+15878.04</f>
        <v>2084487.82</v>
      </c>
      <c r="F13" s="76">
        <f>'[1]Receita'!$H$168</f>
        <v>2067700</v>
      </c>
      <c r="G13" s="213">
        <f>(((D13*(1+Parâmetros!B11)*(1+Parâmetros!C11)*(1+Parâmetros!D11))+(E13*(1+Parâmetros!C11)*(1+Parâmetros!D11)+(F13*(1+Parâmetros!D11))))/3)*(1+Parâmetros!E11)*(1+Parâmetros!E15)</f>
        <v>2384141.304994801</v>
      </c>
      <c r="H13" s="213">
        <f>G13*(1+Parâmetros!F11)*(1+Parâmetros!F15)</f>
        <v>2490246.0936851213</v>
      </c>
      <c r="I13" s="213">
        <f>H13*(1+Parâmetros!G11)*(1+Parâmetros!G15)</f>
        <v>2537584.6812141105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</row>
    <row r="14" spans="1:177" s="8" customFormat="1" ht="15">
      <c r="A14" s="211" t="s">
        <v>205</v>
      </c>
      <c r="B14" s="212" t="s">
        <v>206</v>
      </c>
      <c r="C14" s="81">
        <f>374.26+139.64</f>
        <v>513.9</v>
      </c>
      <c r="D14" s="81">
        <v>285.93</v>
      </c>
      <c r="E14" s="76">
        <v>2000.54</v>
      </c>
      <c r="F14" s="76">
        <f>'[1]Receita'!$H$227</f>
        <v>2000</v>
      </c>
      <c r="G14" s="213">
        <f>(((D14*(1+Parâmetros!B11)*(1+Parâmetros!C11)*(1+Parâmetros!D11))+(E14*(1+Parâmetros!C11)*(1+Parâmetros!D11)+(F14*(1+Parâmetros!D11))))/3)*(1+Parâmetros!E11)*(1+Parâmetros!E15)</f>
        <v>1670.2585459329816</v>
      </c>
      <c r="H14" s="213">
        <f>G14*(1+Parâmetros!F11)*(1+Parâmetros!F15)</f>
        <v>1744.5924076479469</v>
      </c>
      <c r="I14" s="213">
        <f>H14*(1+Parâmetros!G11)*(1+Parâmetros!G15)</f>
        <v>1777.7564152539737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</row>
    <row r="15" spans="1:177" ht="12.75">
      <c r="A15" s="208" t="s">
        <v>207</v>
      </c>
      <c r="B15" s="209" t="s">
        <v>208</v>
      </c>
      <c r="C15" s="210">
        <f aca="true" t="shared" si="3" ref="C15:I15">C16+C21+C22</f>
        <v>1482588.3</v>
      </c>
      <c r="D15" s="210">
        <f t="shared" si="3"/>
        <v>2094108.07</v>
      </c>
      <c r="E15" s="210">
        <f t="shared" si="3"/>
        <v>2469242.37</v>
      </c>
      <c r="F15" s="210">
        <f t="shared" si="3"/>
        <v>2650000</v>
      </c>
      <c r="G15" s="210">
        <f t="shared" si="3"/>
        <v>2838985.6236805953</v>
      </c>
      <c r="H15" s="210">
        <f t="shared" si="3"/>
        <v>3031695.3641965766</v>
      </c>
      <c r="I15" s="210">
        <f t="shared" si="3"/>
        <v>3205457.357914333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</row>
    <row r="16" spans="1:177" ht="12.75">
      <c r="A16" s="208" t="s">
        <v>209</v>
      </c>
      <c r="B16" s="209" t="s">
        <v>210</v>
      </c>
      <c r="C16" s="210">
        <f aca="true" t="shared" si="4" ref="C16:I16">C17+C18+C19+C20</f>
        <v>1482588.3</v>
      </c>
      <c r="D16" s="210">
        <f t="shared" si="4"/>
        <v>2094108.07</v>
      </c>
      <c r="E16" s="210">
        <f t="shared" si="4"/>
        <v>2469242.37</v>
      </c>
      <c r="F16" s="210">
        <f t="shared" si="4"/>
        <v>2650000</v>
      </c>
      <c r="G16" s="210">
        <f t="shared" si="4"/>
        <v>2838985.6236805953</v>
      </c>
      <c r="H16" s="210">
        <f t="shared" si="4"/>
        <v>3031695.3641965766</v>
      </c>
      <c r="I16" s="210">
        <f t="shared" si="4"/>
        <v>3205457.357914333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</row>
    <row r="17" spans="1:177" ht="25.5">
      <c r="A17" s="211" t="s">
        <v>211</v>
      </c>
      <c r="B17" s="212" t="s">
        <v>371</v>
      </c>
      <c r="C17" s="81">
        <v>1482588.3</v>
      </c>
      <c r="D17" s="81">
        <v>2094108.07</v>
      </c>
      <c r="E17" s="76">
        <v>2469242.37</v>
      </c>
      <c r="F17" s="76">
        <f>'[1]Receita'!$H$237</f>
        <v>2650000</v>
      </c>
      <c r="G17" s="213">
        <f>(((D17*(1+Parâmetros!B11)*(1+Parâmetros!C11)*(1+Parâmetros!D11))+(E17*(1+Parâmetros!C11)*(1+Parâmetros!D11)+(F17*(1+Parâmetros!D11))))/3)*(1+Parâmetros!E11)*(1+Parâmetros!E13)*(1+Parâmetros!E18)</f>
        <v>2838985.6236805953</v>
      </c>
      <c r="H17" s="213">
        <f>G17*(1+Parâmetros!F11)*(1+Parâmetros!F13)*(1+Parâmetros!F18)</f>
        <v>3031695.3641965766</v>
      </c>
      <c r="I17" s="213">
        <f>H17*(1+Parâmetros!G11)*(1+Parâmetros!G13)*(1+Parâmetros!G18)</f>
        <v>3205457.357914333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</row>
    <row r="18" spans="1:177" ht="12.75">
      <c r="A18" s="211" t="s">
        <v>212</v>
      </c>
      <c r="B18" s="212" t="s">
        <v>213</v>
      </c>
      <c r="C18" s="76">
        <v>0</v>
      </c>
      <c r="D18" s="76">
        <v>0</v>
      </c>
      <c r="E18" s="76">
        <v>0</v>
      </c>
      <c r="F18" s="76">
        <v>0</v>
      </c>
      <c r="G18" s="213">
        <f>(((D18*(1+Parâmetros!B11)*(1+Parâmetros!C11)*(1+Parâmetros!D11))+(E18*(1+Parâmetros!C11)*(1+Parâmetros!D11)+(F18*(1+Parâmetros!D11))))/3)*(1+Parâmetros!E11)</f>
        <v>0</v>
      </c>
      <c r="H18" s="213">
        <f>G18*(1+Parâmetros!F11)</f>
        <v>0</v>
      </c>
      <c r="I18" s="213">
        <f>H18*(1+Parâmetros!G11)</f>
        <v>0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</row>
    <row r="19" spans="1:177" ht="12.75">
      <c r="A19" s="211" t="s">
        <v>214</v>
      </c>
      <c r="B19" s="212" t="s">
        <v>215</v>
      </c>
      <c r="C19" s="76">
        <v>0</v>
      </c>
      <c r="D19" s="76">
        <v>0</v>
      </c>
      <c r="E19" s="76">
        <v>0</v>
      </c>
      <c r="F19" s="76">
        <v>0</v>
      </c>
      <c r="G19" s="213">
        <f>(((D19*(1+Parâmetros!B11)*(1+Parâmetros!C11)*(1+Parâmetros!D11))+(E19*(1+Parâmetros!C11)*(1+Parâmetros!D11)+(F19*(1+Parâmetros!D11))))/3)*(1+Parâmetros!E11)</f>
        <v>0</v>
      </c>
      <c r="H19" s="213">
        <f>G19*(1+Parâmetros!F11)</f>
        <v>0</v>
      </c>
      <c r="I19" s="213">
        <f>H19*(1+Parâmetros!G11)</f>
        <v>0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</row>
    <row r="20" spans="1:177" ht="12.75">
      <c r="A20" s="211" t="s">
        <v>216</v>
      </c>
      <c r="B20" s="212" t="s">
        <v>217</v>
      </c>
      <c r="C20" s="76">
        <v>0</v>
      </c>
      <c r="D20" s="76">
        <v>0</v>
      </c>
      <c r="E20" s="76">
        <v>0</v>
      </c>
      <c r="F20" s="76">
        <v>0</v>
      </c>
      <c r="G20" s="213">
        <f>(((D20*(1+Parâmetros!B11)*(1+Parâmetros!C11)*(1+Parâmetros!D11))+(E20*(1+Parâmetros!C11)*(1+Parâmetros!D11)+(F20*(1+Parâmetros!D11))))/3)*(1+Parâmetros!E11)</f>
        <v>0</v>
      </c>
      <c r="H20" s="213">
        <f>G20*(1+Parâmetros!F11)</f>
        <v>0</v>
      </c>
      <c r="I20" s="213">
        <f>H20*(1+Parâmetros!G11)</f>
        <v>0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</row>
    <row r="21" spans="1:177" s="8" customFormat="1" ht="12.75">
      <c r="A21" s="211" t="s">
        <v>218</v>
      </c>
      <c r="B21" s="212" t="s">
        <v>219</v>
      </c>
      <c r="C21" s="76">
        <v>0</v>
      </c>
      <c r="D21" s="76">
        <v>0</v>
      </c>
      <c r="E21" s="76">
        <v>0</v>
      </c>
      <c r="F21" s="76">
        <v>0</v>
      </c>
      <c r="G21" s="213">
        <f>(((D21*(1+Parâmetros!B11)*(1+Parâmetros!C11)*(1+Parâmetros!D11))+(E21*(1+Parâmetros!C11)*(1+Parâmetros!D11)+(F21*(1+Parâmetros!D11))))/3)*(1+Parâmetros!E11)</f>
        <v>0</v>
      </c>
      <c r="H21" s="213">
        <f>G21*(1+Parâmetros!F11)</f>
        <v>0</v>
      </c>
      <c r="I21" s="213">
        <f>H21*(1+Parâmetros!G11)</f>
        <v>0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</row>
    <row r="22" spans="1:177" s="8" customFormat="1" ht="12.75">
      <c r="A22" s="211" t="s">
        <v>220</v>
      </c>
      <c r="B22" s="212" t="s">
        <v>221</v>
      </c>
      <c r="C22" s="76">
        <v>0</v>
      </c>
      <c r="D22" s="76">
        <v>0</v>
      </c>
      <c r="E22" s="76">
        <v>0</v>
      </c>
      <c r="F22" s="76">
        <v>0</v>
      </c>
      <c r="G22" s="213">
        <f>(((D22*(1+Parâmetros!B11)*(1+Parâmetros!C11)*(1+Parâmetros!D11))+(E22*(1+Parâmetros!C11)*(1+Parâmetros!D11)+(F22*(1+Parâmetros!D11))))/3)*(1+Parâmetros!E11)*(1+Parâmetros!E12)</f>
        <v>0</v>
      </c>
      <c r="H22" s="213">
        <f>G22*(1+Parâmetros!F11)*(1+Parâmetros!F12)</f>
        <v>0</v>
      </c>
      <c r="I22" s="213">
        <f>H22*(1+Parâmetros!G11)*(1+Parâmetros!G12)</f>
        <v>0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</row>
    <row r="23" spans="1:177" s="8" customFormat="1" ht="12.75">
      <c r="A23" s="208" t="s">
        <v>222</v>
      </c>
      <c r="B23" s="209" t="s">
        <v>223</v>
      </c>
      <c r="C23" s="210">
        <f aca="true" t="shared" si="5" ref="C23:I23">C24+C25+C31+C32+C33</f>
        <v>3895565.55</v>
      </c>
      <c r="D23" s="210">
        <f t="shared" si="5"/>
        <v>6048780.17</v>
      </c>
      <c r="E23" s="210">
        <f t="shared" si="5"/>
        <v>5549256.33</v>
      </c>
      <c r="F23" s="210">
        <f t="shared" si="5"/>
        <v>3965000</v>
      </c>
      <c r="G23" s="210">
        <f t="shared" si="5"/>
        <v>5950736.871169217</v>
      </c>
      <c r="H23" s="210">
        <f t="shared" si="5"/>
        <v>6348632.145347054</v>
      </c>
      <c r="I23" s="210">
        <f t="shared" si="5"/>
        <v>6766029.6398757845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</row>
    <row r="24" spans="1:177" s="8" customFormat="1" ht="15">
      <c r="A24" s="211" t="s">
        <v>224</v>
      </c>
      <c r="B24" s="212" t="s">
        <v>225</v>
      </c>
      <c r="C24" s="81">
        <v>117364.32</v>
      </c>
      <c r="D24" s="81">
        <v>93828.96</v>
      </c>
      <c r="E24" s="76">
        <v>74970</v>
      </c>
      <c r="F24" s="76">
        <f>'[1]Receita'!$H$259</f>
        <v>50000</v>
      </c>
      <c r="G24" s="213">
        <f>(((D24*(1+Parâmetros!B11)*(1+Parâmetros!C11)*(1+Parâmetros!D11))+(E24*(1+Parâmetros!C11)*(1+Parâmetros!D11)+(F24*(1+Parâmetros!D11))))/3)*(1+Parâmetros!E11)</f>
        <v>83681.9538462594</v>
      </c>
      <c r="H24" s="213">
        <f>G24*(1+Parâmetros!F11)</f>
        <v>87054.33658626366</v>
      </c>
      <c r="I24" s="213">
        <f>H24*(1+Parâmetros!G11)</f>
        <v>90449.45571312793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</row>
    <row r="25" spans="1:177" s="78" customFormat="1" ht="15.75">
      <c r="A25" s="208" t="s">
        <v>226</v>
      </c>
      <c r="B25" s="209" t="s">
        <v>227</v>
      </c>
      <c r="C25" s="210">
        <f aca="true" t="shared" si="6" ref="C25:I25">C26+C27+C28+C29+C30</f>
        <v>3667446.2</v>
      </c>
      <c r="D25" s="210">
        <f t="shared" si="6"/>
        <v>5929249.96</v>
      </c>
      <c r="E25" s="210">
        <f t="shared" si="6"/>
        <v>5430441.3</v>
      </c>
      <c r="F25" s="210">
        <f t="shared" si="6"/>
        <v>3880000</v>
      </c>
      <c r="G25" s="210">
        <f t="shared" si="6"/>
        <v>5826698.9878898</v>
      </c>
      <c r="H25" s="210">
        <f t="shared" si="6"/>
        <v>6218508.1944906935</v>
      </c>
      <c r="I25" s="210">
        <f t="shared" si="6"/>
        <v>6629662.897443211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</row>
    <row r="26" spans="1:177" ht="15">
      <c r="A26" s="211" t="s">
        <v>228</v>
      </c>
      <c r="B26" s="212" t="s">
        <v>229</v>
      </c>
      <c r="C26" s="81">
        <v>251995.68</v>
      </c>
      <c r="D26" s="81">
        <v>372060.88</v>
      </c>
      <c r="E26" s="76">
        <v>477147.31</v>
      </c>
      <c r="F26" s="76">
        <f>'[1]Receita'!$H$270</f>
        <v>120000</v>
      </c>
      <c r="G26" s="213">
        <f>(((D26*(1+Parâmetros!B11)*(1+Parâmetros!C11)*(1+Parâmetros!D11))+(E26*(1+Parâmetros!C11)*(1+Parâmetros!D11)+(F26*(1+Parâmetros!D11))))/3)*(1+Parâmetros!E11)*(1+Parâmetros!E12)</f>
        <v>380332.44700219744</v>
      </c>
      <c r="H26" s="213">
        <f>G26*(1+Parâmetros!F11)*(1+Parâmetros!F12)</f>
        <v>405907.4345919504</v>
      </c>
      <c r="I26" s="213">
        <f>H26*(1+Parâmetros!G11)*(1+Parâmetros!G12)</f>
        <v>432745.18176155747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</row>
    <row r="27" spans="1:177" ht="25.5">
      <c r="A27" s="211" t="s">
        <v>230</v>
      </c>
      <c r="B27" s="212" t="s">
        <v>231</v>
      </c>
      <c r="C27" s="81">
        <v>135904.96</v>
      </c>
      <c r="D27" s="81">
        <v>199179.42</v>
      </c>
      <c r="E27" s="76">
        <v>251067.03</v>
      </c>
      <c r="F27" s="76">
        <f>'[1]Receita'!$H$342</f>
        <v>500000</v>
      </c>
      <c r="G27" s="213">
        <f>(((D27*(1+Parâmetros!B11)*(1+Parâmetros!C11)*(1+Parâmetros!D11))+(E27*(1+Parâmetros!C11)*(1+Parâmetros!D11)+(F27*(1+Parâmetros!D11))))/3)*(1+Parâmetros!E11)*(1+Parâmetros!E12)</f>
        <v>363330.53943058936</v>
      </c>
      <c r="H27" s="213">
        <f>G27*(1+Parâmetros!F11)*(1+Parâmetros!F12)</f>
        <v>387762.2546580359</v>
      </c>
      <c r="I27" s="213">
        <f>H27*(1+Parâmetros!G11)*(1+Parâmetros!G12)</f>
        <v>413400.28063529043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</row>
    <row r="28" spans="1:177" ht="25.5">
      <c r="A28" s="211" t="s">
        <v>232</v>
      </c>
      <c r="B28" s="212" t="s">
        <v>233</v>
      </c>
      <c r="C28" s="81">
        <v>3279545.56</v>
      </c>
      <c r="D28" s="81">
        <v>5358009.66</v>
      </c>
      <c r="E28" s="76">
        <v>4702226.96</v>
      </c>
      <c r="F28" s="76">
        <f>'[1]Receita'!$H$350</f>
        <v>3260000</v>
      </c>
      <c r="G28" s="213">
        <f>(((D28*(1+Parâmetros!B11)*(1+Parâmetros!C11)*(1+Parâmetros!D11))+(E28*(1+Parâmetros!C11)*(1+Parâmetros!D11)+(F28*(1+Parâmetros!D11))))/3)*(1+Parâmetros!E11)</f>
        <v>5083036.001457013</v>
      </c>
      <c r="H28" s="213">
        <f>G28*(1+Parâmetros!F11)*(1+Parâmetros!F12)</f>
        <v>5424838.505240708</v>
      </c>
      <c r="I28" s="213">
        <f>H28*(1+Parâmetros!G11)*(1+Parâmetros!G12)</f>
        <v>5783517.435046363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</row>
    <row r="29" spans="1:177" ht="15">
      <c r="A29" s="211" t="s">
        <v>234</v>
      </c>
      <c r="B29" s="212" t="s">
        <v>235</v>
      </c>
      <c r="C29" s="81"/>
      <c r="D29" s="81"/>
      <c r="E29" s="76">
        <v>0</v>
      </c>
      <c r="F29" s="76">
        <v>0</v>
      </c>
      <c r="G29" s="213">
        <f>(((D29*(1+Parâmetros!B11)*(1+Parâmetros!C11)*(1+Parâmetros!D11))+(E29*(1+Parâmetros!C11)*(1+Parâmetros!D11)+(F29*(1+Parâmetros!D11))))/3)*(1+Parâmetros!E11)*(1+Parâmetros!E12)</f>
        <v>0</v>
      </c>
      <c r="H29" s="213">
        <f>G29*(1+Parâmetros!F11)*(1+Parâmetros!F12)</f>
        <v>0</v>
      </c>
      <c r="I29" s="213">
        <f>H29*(1+Parâmetros!G11)*(1+Parâmetros!G12)</f>
        <v>0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</row>
    <row r="30" spans="1:177" ht="15">
      <c r="A30" s="211" t="s">
        <v>236</v>
      </c>
      <c r="B30" s="212" t="s">
        <v>237</v>
      </c>
      <c r="C30" s="81"/>
      <c r="D30" s="81"/>
      <c r="E30" s="76">
        <v>0</v>
      </c>
      <c r="F30" s="76">
        <v>0</v>
      </c>
      <c r="G30" s="213">
        <f>(((D30*(1+Parâmetros!B11)*(1+Parâmetros!C11)*(1+Parâmetros!D11))+(E30*(1+Parâmetros!C11)*(1+Parâmetros!D11)+(F30*(1+Parâmetros!D11))))/3)*(1+Parâmetros!E11)*(1+Parâmetros!E12)</f>
        <v>0</v>
      </c>
      <c r="H30" s="213">
        <f>G30*(1+Parâmetros!F11)*(1+Parâmetros!F12)</f>
        <v>0</v>
      </c>
      <c r="I30" s="213">
        <f>H30*(1+Parâmetros!G11)*(1+Parâmetros!G12)</f>
        <v>0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</row>
    <row r="31" spans="1:177" ht="25.5">
      <c r="A31" s="211" t="s">
        <v>238</v>
      </c>
      <c r="B31" s="212" t="s">
        <v>239</v>
      </c>
      <c r="C31" s="81">
        <v>5755.03</v>
      </c>
      <c r="D31" s="81">
        <v>20701.25</v>
      </c>
      <c r="E31" s="76">
        <v>38845.03</v>
      </c>
      <c r="F31" s="76">
        <f>'[1]Receita'!$H$354</f>
        <v>10000</v>
      </c>
      <c r="G31" s="213">
        <f>(((D31*(1+Parâmetros!B11)*(1+Parâmetros!C11)*(1+Parâmetros!D11))+(E31*(1+Parâmetros!C11)*(1+Parâmetros!D11)+(F31*(1+Parâmetros!D11))))/3)*(1+Parâmetros!E11)*(1+Parâmetros!E12)</f>
        <v>27125.697321038602</v>
      </c>
      <c r="H31" s="213">
        <f>G31*(1+Parâmetros!F11)*(1+Parâmetros!F12)</f>
        <v>28949.731472784137</v>
      </c>
      <c r="I31" s="213">
        <f>H31*(1+Parâmetros!G11)*(1+Parâmetros!G12)</f>
        <v>30863.82692332853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</row>
    <row r="32" spans="1:177" ht="15">
      <c r="A32" s="211" t="s">
        <v>240</v>
      </c>
      <c r="B32" s="212" t="s">
        <v>241</v>
      </c>
      <c r="C32" s="81">
        <v>105000</v>
      </c>
      <c r="D32" s="81">
        <v>5000</v>
      </c>
      <c r="E32" s="76">
        <v>5000</v>
      </c>
      <c r="F32" s="76">
        <f>'[1]Receita'!$H$362</f>
        <v>25000</v>
      </c>
      <c r="G32" s="213">
        <f>(((D32*(1+Parâmetros!B11)*(1+Parâmetros!C11)*(1+Parâmetros!D11))+(E32*(1+Parâmetros!C11)*(1+Parâmetros!D11)+(F32*(1+Parâmetros!D11))))/3)*(1+Parâmetros!E11)*(1+Parâmetros!E12)</f>
        <v>13230.232112118934</v>
      </c>
      <c r="H32" s="213">
        <f>G32*(1+Parâmetros!F11)*(1+Parâmetros!F12)</f>
        <v>14119.882797312874</v>
      </c>
      <c r="I32" s="213">
        <f>H32*(1+Parâmetros!G11)*(1+Parâmetros!G12)</f>
        <v>15053.459796117326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</row>
    <row r="33" spans="1:177" ht="15">
      <c r="A33" s="211" t="s">
        <v>242</v>
      </c>
      <c r="B33" s="212" t="s">
        <v>243</v>
      </c>
      <c r="C33" s="81"/>
      <c r="D33" s="76">
        <v>0</v>
      </c>
      <c r="E33" s="76">
        <v>0</v>
      </c>
      <c r="F33" s="76">
        <v>0</v>
      </c>
      <c r="G33" s="213">
        <f>(((D33*(1+Parâmetros!B11)*(1+Parâmetros!C11)*(1+Parâmetros!D11))+(E33*(1+Parâmetros!C11)*(1+Parâmetros!D11)+(F33*(1+Parâmetros!D11))))/3)*(1+Parâmetros!E11)*(1+Parâmetros!E12)</f>
        <v>0</v>
      </c>
      <c r="H33" s="213">
        <f>G33*(1+Parâmetros!F11)*(1+Parâmetros!F12)</f>
        <v>0</v>
      </c>
      <c r="I33" s="213">
        <f>H33*(1+Parâmetros!G11)*(1+Parâmetros!G12)</f>
        <v>0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</row>
    <row r="34" spans="1:177" ht="15">
      <c r="A34" s="211" t="s">
        <v>244</v>
      </c>
      <c r="B34" s="212" t="s">
        <v>245</v>
      </c>
      <c r="C34" s="81"/>
      <c r="D34" s="76">
        <v>0</v>
      </c>
      <c r="E34" s="76">
        <v>0</v>
      </c>
      <c r="F34" s="76">
        <v>0</v>
      </c>
      <c r="G34" s="213">
        <f>(((D34*(1+Parâmetros!B11)*(1+Parâmetros!C11)*(1+Parâmetros!D11))+(E34*(1+Parâmetros!C11)*(1+Parâmetros!D11)+(F34*(1+Parâmetros!D11))))/3)*(1+Parâmetros!E11)*(1+Parâmetros!E12)</f>
        <v>0</v>
      </c>
      <c r="H34" s="213">
        <f>G34*(1+Parâmetros!F11)*(1+Parâmetros!F12)</f>
        <v>0</v>
      </c>
      <c r="I34" s="213">
        <f>H34*(1+Parâmetros!G11)*(1+Parâmetros!G12)</f>
        <v>0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</row>
    <row r="35" spans="1:177" ht="15">
      <c r="A35" s="211" t="s">
        <v>275</v>
      </c>
      <c r="B35" s="212" t="s">
        <v>276</v>
      </c>
      <c r="C35" s="81"/>
      <c r="D35" s="76">
        <v>0</v>
      </c>
      <c r="E35" s="76">
        <v>0</v>
      </c>
      <c r="F35" s="76">
        <v>0</v>
      </c>
      <c r="G35" s="213">
        <f>(((D35*(1+Parâmetros!B11)*(1+Parâmetros!C11)*(1+Parâmetros!D11))+(E35*(1+Parâmetros!C11)*(1+Parâmetros!D11)+(F35*(1+Parâmetros!D11))))/3)*(1+Parâmetros!E11)*(1+Parâmetros!E12)</f>
        <v>0</v>
      </c>
      <c r="H35" s="213">
        <f>G35*(1+Parâmetros!F11)*(1+Parâmetros!F12)</f>
        <v>0</v>
      </c>
      <c r="I35" s="213">
        <f>H35*(1+Parâmetros!G11)*(1+Parâmetros!G12)</f>
        <v>0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</row>
    <row r="36" spans="1:177" s="7" customFormat="1" ht="12.75">
      <c r="A36" s="294" t="s">
        <v>495</v>
      </c>
      <c r="B36" s="295" t="s">
        <v>246</v>
      </c>
      <c r="C36" s="296">
        <f aca="true" t="shared" si="7" ref="C36:I36">C37+C38</f>
        <v>6288207.67</v>
      </c>
      <c r="D36" s="296">
        <f t="shared" si="7"/>
        <v>6674356.24</v>
      </c>
      <c r="E36" s="296">
        <f t="shared" si="7"/>
        <v>7804344.5</v>
      </c>
      <c r="F36" s="296">
        <f t="shared" si="7"/>
        <v>7515100</v>
      </c>
      <c r="G36" s="296">
        <f t="shared" si="7"/>
        <v>8518311.605942134</v>
      </c>
      <c r="H36" s="296">
        <f t="shared" si="7"/>
        <v>9091114.992360437</v>
      </c>
      <c r="I36" s="296">
        <f t="shared" si="7"/>
        <v>9692200.424313825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</row>
    <row r="37" spans="1:177" ht="25.5">
      <c r="A37" s="297" t="s">
        <v>497</v>
      </c>
      <c r="B37" s="212" t="s">
        <v>498</v>
      </c>
      <c r="C37" s="76">
        <v>0</v>
      </c>
      <c r="D37" s="76">
        <v>0</v>
      </c>
      <c r="E37" s="76">
        <v>0</v>
      </c>
      <c r="F37" s="76">
        <v>0</v>
      </c>
      <c r="G37" s="210">
        <f>(((D37*(1+Parâmetros!B11)*(1+Parâmetros!C11)*(1+Parâmetros!D11))+(E37*(1+Parâmetros!C11)*(1+Parâmetros!D11)+(F37*(1+Parâmetros!D11))))/3)*(1+Parâmetros!E11)</f>
        <v>0</v>
      </c>
      <c r="H37" s="213">
        <f>G37*(1+Parâmetros!F11)</f>
        <v>0</v>
      </c>
      <c r="I37" s="213">
        <f>H37*(1+Parâmetros!G11)</f>
        <v>0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</row>
    <row r="38" spans="1:177" ht="15">
      <c r="A38" s="211" t="s">
        <v>495</v>
      </c>
      <c r="B38" s="212" t="s">
        <v>496</v>
      </c>
      <c r="C38" s="81">
        <v>6288207.67</v>
      </c>
      <c r="D38" s="81">
        <v>6674356.24</v>
      </c>
      <c r="E38" s="76">
        <v>7804344.5</v>
      </c>
      <c r="F38" s="76">
        <f>'[1]Receita'!$H$371</f>
        <v>7515100</v>
      </c>
      <c r="G38" s="210">
        <f>(((D38*(1+Parâmetros!B11)*(1+Parâmetros!C11)*(1+Parâmetros!D11))+(E38*(1+Parâmetros!C11)*(1+Parâmetros!D11)+(F38*(1+Parâmetros!D11))))/3)*(1+Parâmetros!E11)*(1+Parâmetros!E12)</f>
        <v>8518311.605942134</v>
      </c>
      <c r="H38" s="210">
        <f>G38*(1+Parâmetros!F11)*(1+Parâmetros!F12)</f>
        <v>9091114.992360437</v>
      </c>
      <c r="I38" s="210">
        <f>H38*(1+Parâmetros!G11)*(1+Parâmetros!G12)</f>
        <v>9692200.424313825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</row>
    <row r="39" spans="1:177" s="7" customFormat="1" ht="12.75">
      <c r="A39" s="208" t="s">
        <v>247</v>
      </c>
      <c r="B39" s="209" t="s">
        <v>248</v>
      </c>
      <c r="C39" s="210">
        <f aca="true" t="shared" si="8" ref="C39:I39">C40+C51+C61+C62+C63+C64+C65</f>
        <v>42205475.04</v>
      </c>
      <c r="D39" s="210">
        <f t="shared" si="8"/>
        <v>47889630.22</v>
      </c>
      <c r="E39" s="210">
        <f t="shared" si="8"/>
        <v>48866923.66</v>
      </c>
      <c r="F39" s="210">
        <f t="shared" si="8"/>
        <v>53426000</v>
      </c>
      <c r="G39" s="210">
        <f t="shared" si="8"/>
        <v>57618423.615263306</v>
      </c>
      <c r="H39" s="210">
        <f t="shared" si="8"/>
        <v>59615711.89983993</v>
      </c>
      <c r="I39" s="210">
        <f t="shared" si="8"/>
        <v>62474353.88413961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</row>
    <row r="40" spans="1:177" s="7" customFormat="1" ht="12.75">
      <c r="A40" s="208" t="s">
        <v>249</v>
      </c>
      <c r="B40" s="209" t="s">
        <v>250</v>
      </c>
      <c r="C40" s="210">
        <f aca="true" t="shared" si="9" ref="C40:I40">C41+C42+C43+C44+C45+C46+C47+C48+C49+C50</f>
        <v>16293953.21</v>
      </c>
      <c r="D40" s="210">
        <f t="shared" si="9"/>
        <v>19404604.659999996</v>
      </c>
      <c r="E40" s="210">
        <f t="shared" si="9"/>
        <v>18557317.99</v>
      </c>
      <c r="F40" s="210">
        <f t="shared" si="9"/>
        <v>19500000</v>
      </c>
      <c r="G40" s="210">
        <f t="shared" si="9"/>
        <v>21802757.985029723</v>
      </c>
      <c r="H40" s="210">
        <f t="shared" si="9"/>
        <v>22258297.253764264</v>
      </c>
      <c r="I40" s="210">
        <f t="shared" si="9"/>
        <v>23109864.686540216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</row>
    <row r="41" spans="1:177" ht="25.5">
      <c r="A41" s="211" t="s">
        <v>251</v>
      </c>
      <c r="B41" s="212" t="s">
        <v>252</v>
      </c>
      <c r="C41" s="81">
        <v>12706609.29</v>
      </c>
      <c r="D41" s="81">
        <v>14527591.26</v>
      </c>
      <c r="E41" s="76">
        <v>13837987.92</v>
      </c>
      <c r="F41" s="76">
        <f>'[1]Receita'!$H$421</f>
        <v>14460000</v>
      </c>
      <c r="G41" s="213">
        <f>(((D41*(1+Parâmetros!B11)*(1+Parâmetros!C11)*(1+Parâmetros!D11))+(E41*(1+Parâmetros!C11)*(1+Parâmetros!D11)+(F41*(1+Parâmetros!D11))))/3)*(1+Parâmetros!E11)</f>
        <v>16222226.679642284</v>
      </c>
      <c r="H41" s="213">
        <f>G41*(1+Parâmetros!F11)*(1+Parâmetros!F16)</f>
        <v>16492982.172051853</v>
      </c>
      <c r="I41" s="213">
        <f>H41*(1+Parâmetros!G11)*(1+Parâmetros!G16)</f>
        <v>17121267.125168044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</row>
    <row r="42" spans="1:177" ht="25.5">
      <c r="A42" s="211" t="s">
        <v>253</v>
      </c>
      <c r="B42" s="212" t="s">
        <v>254</v>
      </c>
      <c r="C42" s="81">
        <v>557176.92</v>
      </c>
      <c r="D42" s="81">
        <v>641903.46</v>
      </c>
      <c r="E42" s="76">
        <v>615179.64</v>
      </c>
      <c r="F42" s="76">
        <f>'[1]Receita'!$H$427</f>
        <v>670000</v>
      </c>
      <c r="G42" s="213">
        <f>(((D42*(1+Parâmetros!B11)*(1+Parâmetros!C11)*(1+Parâmetros!D11))+(E42*(1+Parâmetros!C11)*(1+Parâmetros!D11)+(F42*(1+Parâmetros!D11))))/3)*(1+Parâmetros!E11)*(1+Parâmetros!E16)</f>
        <v>746913.7434763092</v>
      </c>
      <c r="H42" s="213">
        <f>G42*(1+Parâmetros!F11)*(1+Parâmetros!F16)</f>
        <v>759380.0344729816</v>
      </c>
      <c r="I42" s="213">
        <f>H42*(1+Parâmetros!G11)*(1+Parâmetros!G16)</f>
        <v>788307.9169128663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</row>
    <row r="43" spans="1:177" ht="25.5">
      <c r="A43" s="211" t="s">
        <v>255</v>
      </c>
      <c r="B43" s="212" t="s">
        <v>256</v>
      </c>
      <c r="C43" s="81">
        <v>150388.63</v>
      </c>
      <c r="D43" s="81">
        <v>430034.57</v>
      </c>
      <c r="E43" s="76">
        <v>634701.82</v>
      </c>
      <c r="F43" s="76">
        <f>'[1]Receita'!$H$433</f>
        <v>650000</v>
      </c>
      <c r="G43" s="213">
        <f>(((D43*(1+Parâmetros!B11)*(1+Parâmetros!C11)*(1+Parâmetros!D11))+(E43*(1+Parâmetros!C11)*(1+Parâmetros!D11)+(F43*(1+Parâmetros!D11))))/3)*(1+Parâmetros!E11)*(1+Parâmetros!E16)</f>
        <v>660415.8436644989</v>
      </c>
      <c r="H43" s="213">
        <f>G43*(1+Parâmetros!F11)*(1+Parâmetros!F16)</f>
        <v>671438.449899613</v>
      </c>
      <c r="I43" s="213">
        <f>H43*(1+Parâmetros!G11)*(1+Parâmetros!G16)</f>
        <v>697016.2787370468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</row>
    <row r="44" spans="1:177" ht="15">
      <c r="A44" s="211" t="s">
        <v>257</v>
      </c>
      <c r="B44" s="212" t="s">
        <v>258</v>
      </c>
      <c r="C44" s="81">
        <v>9368</v>
      </c>
      <c r="D44" s="81">
        <v>8493.13</v>
      </c>
      <c r="E44" s="76">
        <v>13338.77</v>
      </c>
      <c r="F44" s="76">
        <f>'[1]Receita'!$H$450</f>
        <v>2000</v>
      </c>
      <c r="G44" s="213">
        <f>(((D44*(1+Parâmetros!B11)*(1+Parâmetros!C11)*(1+Parâmetros!D11))+(E44*(1+Parâmetros!C11)*(1+Parâmetros!D11)+(F44*(1+Parâmetros!D11))))/3)*(1+Parâmetros!E11)*(1+Parâmetros!E16)</f>
        <v>9341.558151101917</v>
      </c>
      <c r="H44" s="213">
        <f>G44*(1+Parâmetros!F11)*(1+Parâmetros!F16)</f>
        <v>9497.47251643675</v>
      </c>
      <c r="I44" s="213">
        <f>H44*(1+Parâmetros!G11)*(1+Parâmetros!G16)</f>
        <v>9859.269977469805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</row>
    <row r="45" spans="1:177" ht="25.5">
      <c r="A45" s="211" t="s">
        <v>259</v>
      </c>
      <c r="B45" s="212" t="s">
        <v>260</v>
      </c>
      <c r="C45" s="81">
        <v>142474.55</v>
      </c>
      <c r="D45" s="81">
        <v>122205.55</v>
      </c>
      <c r="E45" s="76">
        <v>160741.22</v>
      </c>
      <c r="F45" s="76">
        <f>'[1]Receita'!$H$458</f>
        <v>216000</v>
      </c>
      <c r="G45" s="213">
        <f>(((D45*(1+Parâmetros!B11)*(1+Parâmetros!C11)*(1+Parâmetros!D11))+(E45*(1+Parâmetros!C11)*(1+Parâmetros!D11)+(F45*(1+Parâmetros!D11))))/3)*(1+Parâmetros!E11)*(1+Parâmetros!E16)</f>
        <v>191704.5551691089</v>
      </c>
      <c r="H45" s="213">
        <f>G45*(1+Parâmetros!F11)*(1+Parâmetros!F16)</f>
        <v>194904.1813521844</v>
      </c>
      <c r="I45" s="213">
        <f>H45*(1+Parâmetros!G11)*(1+Parâmetros!G16)</f>
        <v>202328.87648406377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</row>
    <row r="46" spans="1:177" ht="25.5">
      <c r="A46" s="211" t="s">
        <v>261</v>
      </c>
      <c r="B46" s="212" t="s">
        <v>262</v>
      </c>
      <c r="C46" s="81">
        <v>957601.27</v>
      </c>
      <c r="D46" s="81">
        <v>1129560.19</v>
      </c>
      <c r="E46" s="76">
        <v>1166419.77</v>
      </c>
      <c r="F46" s="76">
        <f>'[1]Receita'!$H$460</f>
        <v>1158000</v>
      </c>
      <c r="G46" s="213">
        <f>(((D46*(1+Parâmetros!B11)*(1+Parâmetros!C11)*(1+Parâmetros!D11))+(E46*(1+Parâmetros!C11)*(1+Parâmetros!D11)+(F46*(1+Parâmetros!D11))))/3)*(1+Parâmetros!E11)</f>
        <v>1307480.8646948936</v>
      </c>
      <c r="H46" s="213">
        <f>G46*(1+Parâmetros!F11)</f>
        <v>1360172.3435420978</v>
      </c>
      <c r="I46" s="213">
        <f>H46*(1+Parâmetros!G11)</f>
        <v>1413219.0649402395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</row>
    <row r="47" spans="1:177" ht="25.5">
      <c r="A47" s="211" t="s">
        <v>263</v>
      </c>
      <c r="B47" s="212" t="s">
        <v>264</v>
      </c>
      <c r="C47" s="81">
        <v>138991.94</v>
      </c>
      <c r="D47" s="81">
        <v>168307.32</v>
      </c>
      <c r="E47" s="76">
        <v>177376.36</v>
      </c>
      <c r="F47" s="76">
        <f>'[1]Receita'!$H$475</f>
        <v>154000</v>
      </c>
      <c r="G47" s="213">
        <f>(((D47*(1+Parâmetros!B11)*(1+Parâmetros!C11)*(1+Parâmetros!D11))+(E47*(1+Parâmetros!C11)*(1+Parâmetros!D11)+(F47*(1+Parâmetros!D11))))/3)*(1+Parâmetros!E11)</f>
        <v>189459.1604752021</v>
      </c>
      <c r="H47" s="213">
        <f>G47*(1+Parâmetros!F11)</f>
        <v>197094.36464235277</v>
      </c>
      <c r="I47" s="213">
        <f>H47*(1+Parâmetros!G11)</f>
        <v>204781.0448634045</v>
      </c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</row>
    <row r="48" spans="1:177" ht="25.5">
      <c r="A48" s="211" t="s">
        <v>265</v>
      </c>
      <c r="B48" s="212" t="s">
        <v>266</v>
      </c>
      <c r="C48" s="81">
        <v>1492313.92</v>
      </c>
      <c r="D48" s="81">
        <v>1909308.22</v>
      </c>
      <c r="E48" s="76">
        <v>1799841.38</v>
      </c>
      <c r="F48" s="76">
        <f>'[1]Receita'!$H$484</f>
        <v>1777000</v>
      </c>
      <c r="G48" s="213">
        <f>(((D48*(1+Parâmetros!B11)*(1+Parâmetros!C11)*(1+Parâmetros!D11))+(E48*(1+Parâmetros!C11)*(1+Parâmetros!D11)+(F48*(1+Parâmetros!D11))))/3)*(1+Parâmetros!E11)</f>
        <v>2080348.3850212903</v>
      </c>
      <c r="H48" s="213">
        <f>G48*(1+Parâmetros!F11)</f>
        <v>2164186.4249376482</v>
      </c>
      <c r="I48" s="213">
        <f>H48*(1+Parâmetros!G11)</f>
        <v>2248589.6955102165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</row>
    <row r="49" spans="1:177" ht="15">
      <c r="A49" s="211" t="s">
        <v>267</v>
      </c>
      <c r="B49" s="212" t="s">
        <v>268</v>
      </c>
      <c r="C49" s="81">
        <v>76738.21</v>
      </c>
      <c r="D49" s="81">
        <v>73994.88</v>
      </c>
      <c r="E49" s="76">
        <v>77974.68</v>
      </c>
      <c r="F49" s="76">
        <f>'[1]Receita'!$H$517</f>
        <v>82000</v>
      </c>
      <c r="G49" s="213">
        <f>(((D49*(1+Parâmetros!B11)*(1+Parâmetros!C11)*(1+Parâmetros!D11))+(E49*(1+Parâmetros!C11)*(1+Parâmetros!D11)+(F49*(1+Parâmetros!D11))))/3)*(1+Parâmetros!E11)*(1+Parâmetros!E16)</f>
        <v>90578.94070260925</v>
      </c>
      <c r="H49" s="213">
        <f>G49*(1+Parâmetros!F11)*(1+Parâmetros!F16)</f>
        <v>92090.73967917323</v>
      </c>
      <c r="I49" s="213">
        <f>H49*(1+Parâmetros!G11)*(1+Parâmetros!G16)</f>
        <v>95598.8515208152</v>
      </c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</row>
    <row r="50" spans="1:177" ht="15">
      <c r="A50" s="211" t="s">
        <v>269</v>
      </c>
      <c r="B50" s="212" t="s">
        <v>270</v>
      </c>
      <c r="C50" s="81">
        <v>62290.48</v>
      </c>
      <c r="D50" s="76">
        <v>393206.08</v>
      </c>
      <c r="E50" s="76">
        <v>73756.43</v>
      </c>
      <c r="F50" s="76">
        <f>'[1]Receita'!$H$525+'[1]Receita'!$H$530</f>
        <v>331000</v>
      </c>
      <c r="G50" s="213">
        <f>(((D50*(1+Parâmetros!B11)*(1+Parâmetros!C11)*(1+Parâmetros!D11))+(E50*(1+Parâmetros!C11)*(1+Parâmetros!D11)+(F50*(1+Parâmetros!D11))))/3)*(1+Parâmetros!E11)</f>
        <v>304288.2540324215</v>
      </c>
      <c r="H50" s="213">
        <f>G50*(1+Parâmetros!F11)</f>
        <v>316551.0706699281</v>
      </c>
      <c r="I50" s="213">
        <f>H50*(1+Parâmetros!G11)</f>
        <v>328896.56242605526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</row>
    <row r="51" spans="1:177" s="7" customFormat="1" ht="25.5">
      <c r="A51" s="208" t="s">
        <v>271</v>
      </c>
      <c r="B51" s="209" t="s">
        <v>272</v>
      </c>
      <c r="C51" s="210">
        <f aca="true" t="shared" si="10" ref="C51:I51">C52+C53+C54+C55+C56+C57+C58+C59+C60</f>
        <v>14536994.719999999</v>
      </c>
      <c r="D51" s="210">
        <f t="shared" si="10"/>
        <v>15523739.290000001</v>
      </c>
      <c r="E51" s="210">
        <f t="shared" si="10"/>
        <v>16498663.97</v>
      </c>
      <c r="F51" s="210">
        <f t="shared" si="10"/>
        <v>17863000</v>
      </c>
      <c r="G51" s="210">
        <f t="shared" si="10"/>
        <v>19264377.435408723</v>
      </c>
      <c r="H51" s="210">
        <f t="shared" si="10"/>
        <v>20527388.718386173</v>
      </c>
      <c r="I51" s="210">
        <f t="shared" si="10"/>
        <v>21893239.54877755</v>
      </c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</row>
    <row r="52" spans="1:177" ht="15">
      <c r="A52" s="211" t="s">
        <v>273</v>
      </c>
      <c r="B52" s="212" t="s">
        <v>274</v>
      </c>
      <c r="C52" s="81">
        <v>10677315.3</v>
      </c>
      <c r="D52" s="81">
        <v>11386639.13</v>
      </c>
      <c r="E52" s="76">
        <v>12592152.88</v>
      </c>
      <c r="F52" s="76">
        <f>'[1]Receita'!$H$539</f>
        <v>13128000</v>
      </c>
      <c r="G52" s="213">
        <f>(((D52*(1+Parâmetros!B11)*(1+Parâmetros!C11)*(1+Parâmetros!D11))+(E52*(1+Parâmetros!C11)*(1+Parâmetros!D11)+(F52*(1+Parâmetros!D11))))/3)*(1+Parâmetros!E11)*(1+Parâmetros!E17)</f>
        <v>14426942.464930803</v>
      </c>
      <c r="H52" s="213">
        <f>G52*(1+Parâmetros!F11)*(1+Parâmetros!F17)</f>
        <v>15385494.367817925</v>
      </c>
      <c r="I52" s="213">
        <f>H52*(1+Parâmetros!G11)*(1+Parâmetros!G17)</f>
        <v>16423607.670226969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</row>
    <row r="53" spans="1:177" ht="15">
      <c r="A53" s="211" t="s">
        <v>277</v>
      </c>
      <c r="B53" s="212" t="s">
        <v>278</v>
      </c>
      <c r="C53" s="81">
        <v>3423821.14</v>
      </c>
      <c r="D53" s="81">
        <v>3427448.76</v>
      </c>
      <c r="E53" s="76">
        <v>3191971.16</v>
      </c>
      <c r="F53" s="76">
        <f>'[1]Receita'!$H$546</f>
        <v>3749000</v>
      </c>
      <c r="G53" s="213">
        <f>(((D53*(1+Parâmetros!B11)*(1+Parâmetros!C11)*(1+Parâmetros!D11))+(E53*(1+Parâmetros!C11)*(1+Parâmetros!D11)+(F53*(1+Parâmetros!D11))))/3)*(1+Parâmetros!E11)</f>
        <v>3921896.2167430436</v>
      </c>
      <c r="H53" s="213">
        <f>G53*(1+Parâmetros!F11)*(1+Parâmetros!F17)</f>
        <v>4182474.0273652948</v>
      </c>
      <c r="I53" s="213">
        <f>H53*(1+Parâmetros!G11)*(1+Parâmetros!G17)</f>
        <v>4464680.228933326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</row>
    <row r="54" spans="1:177" ht="15">
      <c r="A54" s="211" t="s">
        <v>279</v>
      </c>
      <c r="B54" s="212" t="s">
        <v>280</v>
      </c>
      <c r="C54" s="81">
        <v>205701.04</v>
      </c>
      <c r="D54" s="81">
        <v>142354.33</v>
      </c>
      <c r="E54" s="76">
        <v>190221.26</v>
      </c>
      <c r="F54" s="76">
        <f>'[1]Receita'!$H$552</f>
        <v>220000</v>
      </c>
      <c r="G54" s="213">
        <f>(((D54*(1+Parâmetros!B11)*(1+Parâmetros!C11)*(1+Parâmetros!D11))+(E54*(1+Parâmetros!C11)*(1+Parâmetros!D11)+(F54*(1+Parâmetros!D11))))/3)*(1+Parâmetros!E11)*(1+Parâmetros!E17)</f>
        <v>213820.0030022949</v>
      </c>
      <c r="H54" s="213">
        <f>G54*(1+Parâmetros!F11)*(1+Parâmetros!F17)</f>
        <v>228026.58705511087</v>
      </c>
      <c r="I54" s="213">
        <f>H54*(1+Parâmetros!G11)*(1+Parâmetros!G17)</f>
        <v>243412.34117296292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</row>
    <row r="55" spans="1:177" ht="15">
      <c r="A55" s="211" t="s">
        <v>281</v>
      </c>
      <c r="B55" s="212" t="s">
        <v>282</v>
      </c>
      <c r="C55" s="81">
        <v>12716.79</v>
      </c>
      <c r="D55" s="81">
        <v>35388.99</v>
      </c>
      <c r="E55" s="76">
        <v>49524.78</v>
      </c>
      <c r="F55" s="76">
        <f>'[1]Receita'!$H$569</f>
        <v>53000</v>
      </c>
      <c r="G55" s="213">
        <f>(((D55*(1+Parâmetros!B11)*(1+Parâmetros!C11)*(1+Parâmetros!D11))+(E55*(1+Parâmetros!C11)*(1+Parâmetros!D11)+(F55*(1+Parâmetros!D11))))/3)*(1+Parâmetros!E11)*(1+Parâmetros!E17)</f>
        <v>53390.36393261445</v>
      </c>
      <c r="H55" s="213">
        <f>G55*(1+Parâmetros!F11)*(1+Parâmetros!F17)</f>
        <v>56937.715359837945</v>
      </c>
      <c r="I55" s="213">
        <f>H55*(1+Parâmetros!G11)*(1+Parâmetros!G17)</f>
        <v>60779.50284555333</v>
      </c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</row>
    <row r="56" spans="1:177" ht="15">
      <c r="A56" s="211" t="s">
        <v>283</v>
      </c>
      <c r="B56" s="212" t="s">
        <v>284</v>
      </c>
      <c r="C56" s="81"/>
      <c r="D56" s="81"/>
      <c r="E56" s="76">
        <v>0</v>
      </c>
      <c r="F56" s="76">
        <v>0</v>
      </c>
      <c r="G56" s="213">
        <f>(((D56*(1+Parâmetros!B11)*(1+Parâmetros!C11)*(1+Parâmetros!D11))+(E56*(1+Parâmetros!C11)*(1+Parâmetros!D11)+(F56*(1+Parâmetros!D11))))/3)*(1+Parâmetros!E11)</f>
        <v>0</v>
      </c>
      <c r="H56" s="213">
        <f>G56*(1+Parâmetros!F11)</f>
        <v>0</v>
      </c>
      <c r="I56" s="213">
        <f>H56*(1+Parâmetros!G11)</f>
        <v>0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</row>
    <row r="57" spans="1:177" ht="15">
      <c r="A57" s="211" t="s">
        <v>285</v>
      </c>
      <c r="B57" s="212" t="s">
        <v>286</v>
      </c>
      <c r="C57" s="81"/>
      <c r="D57" s="81"/>
      <c r="E57" s="76">
        <v>0</v>
      </c>
      <c r="F57" s="76">
        <v>0</v>
      </c>
      <c r="G57" s="213">
        <f>(((D57*(1+Parâmetros!B11)*(1+Parâmetros!C11)*(1+Parâmetros!D11))+(E57*(1+Parâmetros!C11)*(1+Parâmetros!D11)+(F57*(1+Parâmetros!D11))))/3)*(1+Parâmetros!E11)</f>
        <v>0</v>
      </c>
      <c r="H57" s="213">
        <f>G57*(1+Parâmetros!F11)</f>
        <v>0</v>
      </c>
      <c r="I57" s="213">
        <f>H57*(1+Parâmetros!G11)</f>
        <v>0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</row>
    <row r="58" spans="1:177" ht="25.5">
      <c r="A58" s="211" t="s">
        <v>287</v>
      </c>
      <c r="B58" s="212" t="s">
        <v>288</v>
      </c>
      <c r="C58" s="81">
        <v>145915.68</v>
      </c>
      <c r="D58" s="81">
        <v>378198.32</v>
      </c>
      <c r="E58" s="76">
        <v>404502.99</v>
      </c>
      <c r="F58" s="76">
        <f>'[1]Receita'!$H$572</f>
        <v>478000</v>
      </c>
      <c r="G58" s="213">
        <f>(((D58*(1+Parâmetros!B11)*(1+Parâmetros!C11)*(1+Parâmetros!D11))+(E58*(1+Parâmetros!C11)*(1+Parâmetros!D11)+(F58*(1+Parâmetros!D11))))/3)*(1+Parâmetros!E11)</f>
        <v>475640.8027655702</v>
      </c>
      <c r="H58" s="213">
        <f>G58*(1+Parâmetros!F11)</f>
        <v>494809.12711702264</v>
      </c>
      <c r="I58" s="213">
        <f>H58*(1+Parâmetros!G11)</f>
        <v>514106.6830745865</v>
      </c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</row>
    <row r="59" spans="1:177" ht="25.5">
      <c r="A59" s="211" t="s">
        <v>289</v>
      </c>
      <c r="B59" s="212" t="s">
        <v>290</v>
      </c>
      <c r="C59" s="81">
        <v>62193</v>
      </c>
      <c r="D59" s="81">
        <v>137158.23</v>
      </c>
      <c r="E59" s="76">
        <v>58727.19</v>
      </c>
      <c r="F59" s="76">
        <f>'[1]Receita'!$H$580</f>
        <v>56000</v>
      </c>
      <c r="G59" s="213">
        <f>(((D59*(1+Parâmetros!B11)*(1+Parâmetros!C11)*(1+Parâmetros!D11))+(E59*(1+Parâmetros!C11)*(1+Parâmetros!D11)+(F59*(1+Parâmetros!D11))))/3)*(1+Parâmetros!E11)</f>
        <v>97046.72423918544</v>
      </c>
      <c r="H59" s="213">
        <f>G59*(1+Parâmetros!F11)</f>
        <v>100957.7072260246</v>
      </c>
      <c r="I59" s="213">
        <f>H59*(1+Parâmetros!G11)</f>
        <v>104895.05780783956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</row>
    <row r="60" spans="1:177" ht="15">
      <c r="A60" s="211" t="s">
        <v>291</v>
      </c>
      <c r="B60" s="212" t="s">
        <v>286</v>
      </c>
      <c r="C60" s="81">
        <v>9331.77</v>
      </c>
      <c r="D60" s="81">
        <v>16551.53</v>
      </c>
      <c r="E60" s="76">
        <v>11563.71</v>
      </c>
      <c r="F60" s="76">
        <f>'[1]Receita'!$H$585</f>
        <v>179000</v>
      </c>
      <c r="G60" s="213">
        <f>(((D60*(1+Parâmetros!B11)*(1+Parâmetros!C11)*(1+Parâmetros!D11))+(E60*(1+Parâmetros!C11)*(1+Parâmetros!D11)+(F60*(1+Parâmetros!D11))))/3)*(1+Parâmetros!E11)</f>
        <v>75640.85979521314</v>
      </c>
      <c r="H60" s="213">
        <f>G60*(1+Parâmetros!F11)</f>
        <v>78689.18644496023</v>
      </c>
      <c r="I60" s="213">
        <f>H60*(1+Parâmetros!G11)</f>
        <v>81758.06471631367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</row>
    <row r="61" spans="1:177" ht="15">
      <c r="A61" s="211" t="s">
        <v>292</v>
      </c>
      <c r="B61" s="212" t="s">
        <v>293</v>
      </c>
      <c r="C61" s="81"/>
      <c r="D61" s="81"/>
      <c r="E61" s="76">
        <v>0</v>
      </c>
      <c r="F61" s="76">
        <v>0</v>
      </c>
      <c r="G61" s="213">
        <f>(((D61*(1+Parâmetros!B11)*(1+Parâmetros!C11)*(1+Parâmetros!D11))+(E61*(1+Parâmetros!C11)*(1+Parâmetros!D11)+(F61*(1+Parâmetros!D11))))/3)*(1+Parâmetros!E11)</f>
        <v>0</v>
      </c>
      <c r="H61" s="213">
        <f>G61*(1+Parâmetros!F11)</f>
        <v>0</v>
      </c>
      <c r="I61" s="213">
        <f>H61*(1+Parâmetros!G11)</f>
        <v>0</v>
      </c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</row>
    <row r="62" spans="1:177" ht="15">
      <c r="A62" s="211" t="s">
        <v>294</v>
      </c>
      <c r="B62" s="212" t="s">
        <v>295</v>
      </c>
      <c r="C62" s="81">
        <v>101000</v>
      </c>
      <c r="D62" s="81">
        <v>75000</v>
      </c>
      <c r="E62" s="76">
        <v>50563</v>
      </c>
      <c r="F62" s="76">
        <f>'[1]Receita'!$H$595</f>
        <v>22000</v>
      </c>
      <c r="G62" s="213">
        <f>(((D62*(1+Parâmetros!B11)*(1+Parâmetros!C11)*(1+Parâmetros!D11))+(E62*(1+Parâmetros!C11)*(1+Parâmetros!D11)+(F62*(1+Parâmetros!D11))))/3)*(1+Parâmetros!E11)</f>
        <v>56879.92170208773</v>
      </c>
      <c r="H62" s="213">
        <f>G62*(1+Parâmetros!F11)</f>
        <v>59172.18254668187</v>
      </c>
      <c r="I62" s="213">
        <f>H62*(1+Parâmetros!G11)</f>
        <v>61479.89766600246</v>
      </c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</row>
    <row r="63" spans="1:177" ht="15">
      <c r="A63" s="211" t="s">
        <v>389</v>
      </c>
      <c r="B63" s="212" t="s">
        <v>390</v>
      </c>
      <c r="C63" s="81">
        <v>11219175.34</v>
      </c>
      <c r="D63" s="81">
        <v>12864013.3</v>
      </c>
      <c r="E63" s="76">
        <v>13722038.08</v>
      </c>
      <c r="F63" s="76">
        <f>'[1]Receita'!$H$604</f>
        <v>15971000</v>
      </c>
      <c r="G63" s="213">
        <f>(((D63*(1+Parâmetros!B11)*(1+Parâmetros!C11)*(1+Parâmetros!D11))+(E63*(1+Parâmetros!C11)*(1+Parâmetros!D11)+(F63*(1+Parâmetros!D11))))/3)*(1+Parâmetros!E11)*(1+Parâmetros!E16)</f>
        <v>16445819.589363856</v>
      </c>
      <c r="H63" s="213">
        <f>G63*(1+Parâmetros!F11)*(1+Parâmetros!F16)</f>
        <v>16720306.937428415</v>
      </c>
      <c r="I63" s="213">
        <f>H63*(1+Parâmetros!G11)*(1+Parâmetros!G16)</f>
        <v>17357251.617940586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</row>
    <row r="64" spans="1:177" ht="15">
      <c r="A64" s="211" t="s">
        <v>297</v>
      </c>
      <c r="B64" s="212" t="s">
        <v>298</v>
      </c>
      <c r="C64" s="81"/>
      <c r="D64" s="81"/>
      <c r="E64" s="76">
        <v>0</v>
      </c>
      <c r="F64" s="76">
        <v>0</v>
      </c>
      <c r="G64" s="213">
        <f>(((D64*(1+Parâmetros!B11)*(1+Parâmetros!C11)*(1+Parâmetros!D11))+(E64*(1+Parâmetros!C11)*(1+Parâmetros!D11)+(F64*(1+Parâmetros!D11))))/3)*(1+Parâmetros!E11)</f>
        <v>0</v>
      </c>
      <c r="H64" s="213">
        <f>G64*(1+Parâmetros!F11)</f>
        <v>0</v>
      </c>
      <c r="I64" s="213">
        <f>H64*(1+Parâmetros!G11)</f>
        <v>0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</row>
    <row r="65" spans="1:177" ht="15">
      <c r="A65" s="211" t="s">
        <v>299</v>
      </c>
      <c r="B65" s="212" t="s">
        <v>300</v>
      </c>
      <c r="C65" s="81">
        <v>54351.77</v>
      </c>
      <c r="D65" s="81">
        <v>22272.97</v>
      </c>
      <c r="E65" s="76">
        <v>38340.62</v>
      </c>
      <c r="F65" s="76">
        <f>'[1]Receita'!$H$611</f>
        <v>70000</v>
      </c>
      <c r="G65" s="213">
        <f>(((D65*(1+Parâmetros!B11)*(1+Parâmetros!C11)*(1+Parâmetros!D11))+(E65*(1+Parâmetros!C11)*(1+Parâmetros!D11)+(F65*(1+Parâmetros!D11))))/3)*(1+Parâmetros!E11)</f>
        <v>48588.68375891415</v>
      </c>
      <c r="H65" s="213">
        <f>G65*(1+Parâmetros!F11)</f>
        <v>50546.80771439839</v>
      </c>
      <c r="I65" s="213">
        <f>H65*(1+Parâmetros!G11)</f>
        <v>52518.13321525992</v>
      </c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</row>
    <row r="66" spans="1:177" s="7" customFormat="1" ht="12.75">
      <c r="A66" s="208" t="s">
        <v>301</v>
      </c>
      <c r="B66" s="209" t="s">
        <v>302</v>
      </c>
      <c r="C66" s="210">
        <f aca="true" t="shared" si="11" ref="C66:I66">C67+C68+C71</f>
        <v>751530.92</v>
      </c>
      <c r="D66" s="210">
        <f t="shared" si="11"/>
        <v>949902.05</v>
      </c>
      <c r="E66" s="210">
        <f t="shared" si="11"/>
        <v>506133.74999999994</v>
      </c>
      <c r="F66" s="210">
        <f t="shared" si="11"/>
        <v>619000</v>
      </c>
      <c r="G66" s="210">
        <f t="shared" si="11"/>
        <v>792986.2339582437</v>
      </c>
      <c r="H66" s="210">
        <f t="shared" si="11"/>
        <v>824943.579186761</v>
      </c>
      <c r="I66" s="210">
        <f t="shared" si="11"/>
        <v>857116.3787750446</v>
      </c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</row>
    <row r="67" spans="1:177" ht="15">
      <c r="A67" s="211" t="s">
        <v>303</v>
      </c>
      <c r="B67" s="212" t="s">
        <v>304</v>
      </c>
      <c r="C67" s="81">
        <v>515569.15</v>
      </c>
      <c r="D67" s="81">
        <v>564979.81</v>
      </c>
      <c r="E67" s="76">
        <v>353980.97</v>
      </c>
      <c r="F67" s="76">
        <f>'[1]Receita'!$H$617</f>
        <v>74000</v>
      </c>
      <c r="G67" s="213">
        <f>(((D67*(1+Parâmetros!B11)*(1+Parâmetros!C11)*(1+Parâmetros!D11))+(E67*(1+Parâmetros!C11)*(1+Parâmetros!D11)+(F67*(1+Parâmetros!D11))))/3)*(1+Parâmetros!E11)</f>
        <v>385221.98676966864</v>
      </c>
      <c r="H67" s="213">
        <f>G67*(1+Parâmetros!F11)</f>
        <v>400746.4328364863</v>
      </c>
      <c r="I67" s="213">
        <f>H67*(1+Parâmetros!G11)</f>
        <v>416375.54371710925</v>
      </c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</row>
    <row r="68" spans="1:177" ht="12.75">
      <c r="A68" s="298" t="s">
        <v>305</v>
      </c>
      <c r="B68" s="299" t="s">
        <v>306</v>
      </c>
      <c r="C68" s="300">
        <f aca="true" t="shared" si="12" ref="C68:I68">C69+C70</f>
        <v>179932.67</v>
      </c>
      <c r="D68" s="300">
        <f t="shared" si="12"/>
        <v>318838.22</v>
      </c>
      <c r="E68" s="300">
        <f t="shared" si="12"/>
        <v>54769.36</v>
      </c>
      <c r="F68" s="300">
        <f t="shared" si="12"/>
        <v>45000</v>
      </c>
      <c r="G68" s="300">
        <f t="shared" si="12"/>
        <v>164109.8315161638</v>
      </c>
      <c r="H68" s="300">
        <f t="shared" si="12"/>
        <v>170723.45772626522</v>
      </c>
      <c r="I68" s="300">
        <f t="shared" si="12"/>
        <v>177381.67257758955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</row>
    <row r="69" spans="1:177" ht="12.75">
      <c r="A69" s="211" t="s">
        <v>499</v>
      </c>
      <c r="B69" s="212" t="s">
        <v>500</v>
      </c>
      <c r="C69" s="76">
        <v>0</v>
      </c>
      <c r="D69" s="76">
        <v>0</v>
      </c>
      <c r="E69" s="76">
        <v>0</v>
      </c>
      <c r="F69" s="76">
        <v>0</v>
      </c>
      <c r="G69" s="300">
        <f>(((D69*(1+Parâmetros!B11)*(1+Parâmetros!C11)*(1+Parâmetros!D11))+(E69*(1+Parâmetros!C11)*(1+Parâmetros!D11)+(F69*(1+Parâmetros!D11))))/3)*(1+Parâmetros!E11)</f>
        <v>0</v>
      </c>
      <c r="H69" s="300">
        <f>G69*(1+Parâmetros!F11)</f>
        <v>0</v>
      </c>
      <c r="I69" s="300">
        <f>H69*(1+Parâmetros!G11)</f>
        <v>0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</row>
    <row r="70" spans="1:177" ht="15">
      <c r="A70" s="211" t="s">
        <v>501</v>
      </c>
      <c r="B70" s="212" t="s">
        <v>502</v>
      </c>
      <c r="C70" s="81">
        <v>179932.67</v>
      </c>
      <c r="D70" s="81">
        <v>318838.22</v>
      </c>
      <c r="E70" s="76">
        <v>54769.36</v>
      </c>
      <c r="F70" s="76">
        <f>'[1]Receita'!$H$650</f>
        <v>45000</v>
      </c>
      <c r="G70" s="300">
        <f>(((D70*(1+Parâmetros!B11)*(1+Parâmetros!C11)*(1+Parâmetros!D11))+(E70*(1+Parâmetros!C11)*(1+Parâmetros!D11)+(F70*(1+Parâmetros!D11))))/3)*(1+Parâmetros!E11)</f>
        <v>164109.8315161638</v>
      </c>
      <c r="H70" s="300">
        <f>G70*(1+Parâmetros!F11)</f>
        <v>170723.45772626522</v>
      </c>
      <c r="I70" s="300">
        <f>H70*(1+Parâmetros!G11)</f>
        <v>177381.67257758955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</row>
    <row r="71" spans="1:177" s="7" customFormat="1" ht="12.75">
      <c r="A71" s="208" t="s">
        <v>307</v>
      </c>
      <c r="B71" s="209" t="s">
        <v>308</v>
      </c>
      <c r="C71" s="210">
        <f aca="true" t="shared" si="13" ref="C71:I71">C72+C73+C74+C75+C76+C77</f>
        <v>56029.1</v>
      </c>
      <c r="D71" s="210">
        <f t="shared" si="13"/>
        <v>66084.02</v>
      </c>
      <c r="E71" s="210">
        <f t="shared" si="13"/>
        <v>97383.42</v>
      </c>
      <c r="F71" s="210">
        <f t="shared" si="13"/>
        <v>500000</v>
      </c>
      <c r="G71" s="210">
        <f t="shared" si="13"/>
        <v>243654.4156724113</v>
      </c>
      <c r="H71" s="210">
        <f t="shared" si="13"/>
        <v>253473.6886240095</v>
      </c>
      <c r="I71" s="210">
        <f t="shared" si="13"/>
        <v>263359.1624803458</v>
      </c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</row>
    <row r="72" spans="1:177" ht="25.5">
      <c r="A72" s="211" t="s">
        <v>309</v>
      </c>
      <c r="B72" s="212" t="s">
        <v>310</v>
      </c>
      <c r="C72" s="76">
        <v>0</v>
      </c>
      <c r="D72" s="76">
        <v>0</v>
      </c>
      <c r="E72" s="76">
        <v>0</v>
      </c>
      <c r="F72" s="76">
        <f>'[1]Receita'!$H$678</f>
        <v>460000</v>
      </c>
      <c r="G72" s="213">
        <f>(((D72*(1+Parâmetros!B11)*(1+Parâmetros!C11)*(1+Parâmetros!D11))+(E72*(1+Parâmetros!C11)*(1+Parâmetros!D11)+(F72*(1+Parâmetros!D11))))/3)*(1+Parâmetros!E11)</f>
        <v>166244.23613333332</v>
      </c>
      <c r="H72" s="213">
        <f>G72*(1+Parâmetros!F11)</f>
        <v>172943.87884950667</v>
      </c>
      <c r="I72" s="213">
        <f>H72*(1+Parâmetros!G11)</f>
        <v>179688.69012463742</v>
      </c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</row>
    <row r="73" spans="1:177" ht="12.75">
      <c r="A73" s="211" t="s">
        <v>311</v>
      </c>
      <c r="B73" s="212" t="s">
        <v>312</v>
      </c>
      <c r="C73" s="76"/>
      <c r="D73" s="76"/>
      <c r="E73" s="76"/>
      <c r="F73" s="76"/>
      <c r="G73" s="213">
        <f>(((D73*(1+Parâmetros!B11)*(1+Parâmetros!C11)*(1+Parâmetros!D11))+(E73*(1+Parâmetros!C11)*(1+Parâmetros!D11)+(F73*(1+Parâmetros!D11))))/3)*(1+Parâmetros!E11)</f>
        <v>0</v>
      </c>
      <c r="H73" s="213">
        <f>G73*(1+Parâmetros!F11)</f>
        <v>0</v>
      </c>
      <c r="I73" s="213">
        <f>H73*(1+Parâmetros!G11)</f>
        <v>0</v>
      </c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</row>
    <row r="74" spans="1:177" ht="12.75">
      <c r="A74" s="211" t="s">
        <v>503</v>
      </c>
      <c r="B74" s="212" t="s">
        <v>504</v>
      </c>
      <c r="C74" s="76">
        <v>0</v>
      </c>
      <c r="D74" s="76">
        <v>0</v>
      </c>
      <c r="E74" s="76">
        <v>0</v>
      </c>
      <c r="F74" s="76">
        <v>0</v>
      </c>
      <c r="G74" s="213">
        <f>((C74+D74+E74+F74)/4)/Parâmetros!D22*Parâmetros!E22</f>
        <v>0</v>
      </c>
      <c r="H74" s="213">
        <f>((D74+E74+F74+G74)/4)/Parâmetros!E22*Parâmetros!F22</f>
        <v>0</v>
      </c>
      <c r="I74" s="213">
        <f>((E74+F74+G74+H74)/4)/Parâmetros!F22*Parâmetros!G22</f>
        <v>0</v>
      </c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</row>
    <row r="75" spans="1:177" ht="25.5">
      <c r="A75" s="211" t="s">
        <v>313</v>
      </c>
      <c r="B75" s="212" t="s">
        <v>314</v>
      </c>
      <c r="C75" s="76">
        <v>0</v>
      </c>
      <c r="D75" s="76">
        <v>0</v>
      </c>
      <c r="E75" s="76">
        <v>0</v>
      </c>
      <c r="F75" s="76">
        <v>0</v>
      </c>
      <c r="G75" s="213">
        <f>(((D75*(1+Parâmetros!B11)*(1+Parâmetros!C11)*(1+Parâmetros!D11))+(E75*(1+Parâmetros!C11)*(1+Parâmetros!D11)+(F75*(1+Parâmetros!D11))))/3)*(1+Parâmetros!E11)</f>
        <v>0</v>
      </c>
      <c r="H75" s="213">
        <f>G75*(1+Parâmetros!F11)</f>
        <v>0</v>
      </c>
      <c r="I75" s="213">
        <f>H75*(1+Parâmetros!G11)</f>
        <v>0</v>
      </c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</row>
    <row r="76" spans="1:177" ht="12.75">
      <c r="A76" s="211" t="s">
        <v>505</v>
      </c>
      <c r="B76" s="212" t="s">
        <v>506</v>
      </c>
      <c r="C76" s="76">
        <v>0</v>
      </c>
      <c r="D76" s="76">
        <v>0</v>
      </c>
      <c r="E76" s="76">
        <v>0</v>
      </c>
      <c r="F76" s="76">
        <v>0</v>
      </c>
      <c r="G76" s="213">
        <f>((C76+D76+E76+F76)/4)*(1+Parâmetros!E11)</f>
        <v>0</v>
      </c>
      <c r="H76" s="213">
        <f>((D76+E76+F76+G76)/4)*(1+Parâmetros!F11)</f>
        <v>0</v>
      </c>
      <c r="I76" s="213">
        <f>((E76+F76+G76+H76)/4)*(1+Parâmetros!G11)</f>
        <v>0</v>
      </c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</row>
    <row r="77" spans="1:177" ht="15">
      <c r="A77" s="211" t="s">
        <v>315</v>
      </c>
      <c r="B77" s="212" t="s">
        <v>507</v>
      </c>
      <c r="C77" s="81">
        <v>56029.1</v>
      </c>
      <c r="D77" s="81">
        <f>5154.83+60929.19</f>
        <v>66084.02</v>
      </c>
      <c r="E77" s="76">
        <v>97383.42</v>
      </c>
      <c r="F77" s="76">
        <v>40000</v>
      </c>
      <c r="G77" s="213">
        <f>(((D77*(1+Parâmetros!B11)*(1+Parâmetros!C11)*(1+Parâmetros!D11))+(E77*(1+Parâmetros!C11)*(1+Parâmetros!D11)+(F77*(1+Parâmetros!D11))))/3)*(1+Parâmetros!E11)</f>
        <v>77410.17953907797</v>
      </c>
      <c r="H77" s="213">
        <f>G77*(1+Parâmetros!F11)</f>
        <v>80529.80977450282</v>
      </c>
      <c r="I77" s="213">
        <f>H77*(1+Parâmetros!G11)</f>
        <v>83670.47235570842</v>
      </c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</row>
    <row r="78" spans="1:177" s="10" customFormat="1" ht="18">
      <c r="A78" s="208" t="s">
        <v>316</v>
      </c>
      <c r="B78" s="209" t="s">
        <v>317</v>
      </c>
      <c r="C78" s="210">
        <f aca="true" t="shared" si="14" ref="C78:I78">C79+C80+C85+C86+C94</f>
        <v>2803055.8200000003</v>
      </c>
      <c r="D78" s="210">
        <f t="shared" si="14"/>
        <v>3822586.39</v>
      </c>
      <c r="E78" s="210">
        <f t="shared" si="14"/>
        <v>2159127.22</v>
      </c>
      <c r="F78" s="210">
        <f t="shared" si="14"/>
        <v>2599000</v>
      </c>
      <c r="G78" s="210">
        <f t="shared" si="14"/>
        <v>2739075.3669111747</v>
      </c>
      <c r="H78" s="210">
        <f t="shared" si="14"/>
        <v>2898408.7011300614</v>
      </c>
      <c r="I78" s="210">
        <f t="shared" si="14"/>
        <v>3064024.338563403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</row>
    <row r="79" spans="1:9" s="77" customFormat="1" ht="15">
      <c r="A79" s="211" t="s">
        <v>318</v>
      </c>
      <c r="B79" s="212" t="s">
        <v>319</v>
      </c>
      <c r="C79" s="76">
        <v>0</v>
      </c>
      <c r="D79" s="81">
        <v>529538.73</v>
      </c>
      <c r="E79" s="76">
        <v>984624.2</v>
      </c>
      <c r="F79" s="76"/>
      <c r="G79" s="213">
        <f>Dívida!E20</f>
        <v>0</v>
      </c>
      <c r="H79" s="213">
        <f>Dívida!F20</f>
        <v>0</v>
      </c>
      <c r="I79" s="213">
        <f>Dívida!G20</f>
        <v>0</v>
      </c>
    </row>
    <row r="80" spans="1:177" s="7" customFormat="1" ht="12.75">
      <c r="A80" s="208" t="s">
        <v>320</v>
      </c>
      <c r="B80" s="209" t="s">
        <v>321</v>
      </c>
      <c r="C80" s="210">
        <f aca="true" t="shared" si="15" ref="C80:I80">C81+C82+C83+C84</f>
        <v>1714556.29</v>
      </c>
      <c r="D80" s="210">
        <f t="shared" si="15"/>
        <v>1722639.05</v>
      </c>
      <c r="E80" s="210">
        <f t="shared" si="15"/>
        <v>452865.9</v>
      </c>
      <c r="F80" s="210">
        <f t="shared" si="15"/>
        <v>120000</v>
      </c>
      <c r="G80" s="210">
        <f t="shared" si="15"/>
        <v>901111.0587395802</v>
      </c>
      <c r="H80" s="210">
        <f t="shared" si="15"/>
        <v>937425.8344067853</v>
      </c>
      <c r="I80" s="210">
        <f t="shared" si="15"/>
        <v>973985.4419486498</v>
      </c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</row>
    <row r="81" spans="1:177" s="7" customFormat="1" ht="12.75">
      <c r="A81" s="211" t="s">
        <v>509</v>
      </c>
      <c r="B81" s="212" t="s">
        <v>510</v>
      </c>
      <c r="C81" s="301">
        <v>0</v>
      </c>
      <c r="D81" s="301">
        <v>0</v>
      </c>
      <c r="E81" s="301">
        <v>0</v>
      </c>
      <c r="F81" s="301">
        <v>0</v>
      </c>
      <c r="G81" s="213">
        <f>((C81+D81+E81+F81)/4)*(1+Parâmetros!E11)</f>
        <v>0</v>
      </c>
      <c r="H81" s="213">
        <f>((D81+E81+F81+G81)/4)*(1+Parâmetros!F11)</f>
        <v>0</v>
      </c>
      <c r="I81" s="213">
        <f>((E81+F81+G81+H81)/4)*(1+Parâmetros!G11)</f>
        <v>0</v>
      </c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</row>
    <row r="82" spans="1:177" s="7" customFormat="1" ht="12.75">
      <c r="A82" s="211" t="s">
        <v>511</v>
      </c>
      <c r="B82" s="212" t="s">
        <v>512</v>
      </c>
      <c r="C82" s="301">
        <v>0</v>
      </c>
      <c r="D82" s="301">
        <v>0</v>
      </c>
      <c r="E82" s="301">
        <v>0</v>
      </c>
      <c r="F82" s="301">
        <v>0</v>
      </c>
      <c r="G82" s="213">
        <f>((C82+D82+E82+F82)/4)*(1+Parâmetros!E11)</f>
        <v>0</v>
      </c>
      <c r="H82" s="213">
        <f>((D82+E82+F82+G82)/4)*(1+Parâmetros!F11)</f>
        <v>0</v>
      </c>
      <c r="I82" s="213">
        <f>((E82+F82+G82+H82)/4)*(1+Parâmetros!G11)</f>
        <v>0</v>
      </c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</row>
    <row r="83" spans="1:9" s="77" customFormat="1" ht="12.75">
      <c r="A83" s="211" t="s">
        <v>322</v>
      </c>
      <c r="B83" s="212" t="s">
        <v>323</v>
      </c>
      <c r="C83" s="76">
        <v>0</v>
      </c>
      <c r="D83" s="76">
        <v>0</v>
      </c>
      <c r="E83" s="76">
        <v>0</v>
      </c>
      <c r="F83" s="76">
        <v>0</v>
      </c>
      <c r="G83" s="213">
        <f>(((D83*(1+Parâmetros!B11)*(1+Parâmetros!C11)*(1+Parâmetros!D11))+(E83*(1+Parâmetros!C11)*(1+Parâmetros!D11)+(F83*(1+Parâmetros!D11))))/3)*(1+Parâmetros!E11)</f>
        <v>0</v>
      </c>
      <c r="H83" s="213">
        <f>G83*(1+Parâmetros!F11)</f>
        <v>0</v>
      </c>
      <c r="I83" s="213">
        <f>H83*(1+Parâmetros!G11)</f>
        <v>0</v>
      </c>
    </row>
    <row r="84" spans="1:9" s="77" customFormat="1" ht="15">
      <c r="A84" s="211" t="s">
        <v>324</v>
      </c>
      <c r="B84" s="212" t="s">
        <v>325</v>
      </c>
      <c r="C84" s="81">
        <v>1714556.29</v>
      </c>
      <c r="D84" s="81">
        <v>1722639.05</v>
      </c>
      <c r="E84" s="76">
        <v>452865.9</v>
      </c>
      <c r="F84" s="76">
        <f>'[1]Receita'!$H$707</f>
        <v>120000</v>
      </c>
      <c r="G84" s="213">
        <f>(((D84*(1+Parâmetros!B11)*(1+Parâmetros!C11)*(1+Parâmetros!D11))+(E84*(1+Parâmetros!C11)*(1+Parâmetros!D11)+(F84*(1+Parâmetros!D11))))/3)*(1+Parâmetros!E11)</f>
        <v>901111.0587395802</v>
      </c>
      <c r="H84" s="213">
        <f>G84*(1+Parâmetros!F11)</f>
        <v>937425.8344067853</v>
      </c>
      <c r="I84" s="213">
        <f>H84*(1+Parâmetros!G11)</f>
        <v>973985.4419486498</v>
      </c>
    </row>
    <row r="85" spans="1:9" s="77" customFormat="1" ht="15">
      <c r="A85" s="211" t="s">
        <v>326</v>
      </c>
      <c r="B85" s="212" t="s">
        <v>327</v>
      </c>
      <c r="C85" s="81">
        <v>18148.58</v>
      </c>
      <c r="D85" s="81">
        <v>11956.23</v>
      </c>
      <c r="E85" s="76">
        <v>15057.34</v>
      </c>
      <c r="F85" s="76">
        <f>'[1]Receita'!$H$714</f>
        <v>30000</v>
      </c>
      <c r="G85" s="213">
        <f>(((D85*(1+Parâmetros!B11)*(1+Parâmetros!C11)*(1+Parâmetros!D11))+(E85*(1+Parâmetros!C11)*(1+Parâmetros!D11)+(F85*(1+Parâmetros!D11))))/3)*(1+Parâmetros!E11)</f>
        <v>21269.876309749474</v>
      </c>
      <c r="H85" s="213">
        <f>G85*(1+Parâmetros!F11)</f>
        <v>22127.05232503238</v>
      </c>
      <c r="I85" s="213">
        <f>H85*(1+Parâmetros!G11)</f>
        <v>22990.00736570864</v>
      </c>
    </row>
    <row r="86" spans="1:177" s="7" customFormat="1" ht="12.75">
      <c r="A86" s="208" t="s">
        <v>328</v>
      </c>
      <c r="B86" s="209" t="s">
        <v>329</v>
      </c>
      <c r="C86" s="210">
        <f aca="true" t="shared" si="16" ref="C86:I86">C87+C88+C89+C90+C91+C92+C93</f>
        <v>1070350.95</v>
      </c>
      <c r="D86" s="210">
        <f t="shared" si="16"/>
        <v>1558452.38</v>
      </c>
      <c r="E86" s="210">
        <f t="shared" si="16"/>
        <v>706579.78</v>
      </c>
      <c r="F86" s="210">
        <f t="shared" si="16"/>
        <v>2449000</v>
      </c>
      <c r="G86" s="210">
        <f t="shared" si="16"/>
        <v>1816694.431861845</v>
      </c>
      <c r="H86" s="210">
        <f t="shared" si="16"/>
        <v>1938855.8143982436</v>
      </c>
      <c r="I86" s="210">
        <f t="shared" si="16"/>
        <v>2067048.889249045</v>
      </c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</row>
    <row r="87" spans="1:177" ht="15">
      <c r="A87" s="211" t="s">
        <v>330</v>
      </c>
      <c r="B87" s="212" t="s">
        <v>250</v>
      </c>
      <c r="C87" s="81">
        <f>295399.85+747909.1</f>
        <v>1043308.95</v>
      </c>
      <c r="D87" s="81">
        <f>686304.28+732438.08</f>
        <v>1418742.3599999999</v>
      </c>
      <c r="E87" s="76">
        <v>663244.78</v>
      </c>
      <c r="F87" s="76">
        <f>'[1]Receita'!$H$727</f>
        <v>2395000</v>
      </c>
      <c r="G87" s="213">
        <f>(((D87*(1+Parâmetros!B11)*(1+Parâmetros!C11)*(1+Parâmetros!D11))+(E87*(1+Parâmetros!C11)*(1+Parâmetros!D11)+(F87*(1+Parâmetros!D11))))/3)*(1+Parâmetros!E11)*(1+Parâmetros!E12)</f>
        <v>1722852.7750007173</v>
      </c>
      <c r="H87" s="213">
        <f>G87*(1+Parâmetros!F11)*(1+Parâmetros!F12)</f>
        <v>1838703.8907467271</v>
      </c>
      <c r="I87" s="213">
        <f>H87*(1+Parâmetros!G11)*(1+Parâmetros!G12)</f>
        <v>1960275.13072473</v>
      </c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  <c r="FO87" s="77"/>
      <c r="FP87" s="77"/>
      <c r="FQ87" s="77"/>
      <c r="FR87" s="77"/>
      <c r="FS87" s="77"/>
      <c r="FT87" s="77"/>
      <c r="FU87" s="77"/>
    </row>
    <row r="88" spans="1:177" ht="25.5">
      <c r="A88" s="211" t="s">
        <v>331</v>
      </c>
      <c r="B88" s="212" t="s">
        <v>272</v>
      </c>
      <c r="C88" s="81">
        <v>27042</v>
      </c>
      <c r="D88" s="81">
        <f>70608.22+69101.8</f>
        <v>139710.02000000002</v>
      </c>
      <c r="E88" s="76">
        <v>43335</v>
      </c>
      <c r="F88" s="76">
        <f>'[1]Receita'!$H$764</f>
        <v>54000</v>
      </c>
      <c r="G88" s="213">
        <f>(((D88*(1+Parâmetros!B11)*(1+Parâmetros!C11)*(1+Parâmetros!D11))+(E88*(1+Parâmetros!C11)*(1+Parâmetros!D11)+(F88*(1+Parâmetros!D11))))/3)*(1+Parâmetros!E11)*(1+Parâmetros!E12)</f>
        <v>93841.65686112778</v>
      </c>
      <c r="H88" s="213">
        <f>G88*(1+Parâmetros!F11)*(1+Parâmetros!F12)</f>
        <v>100151.92365151636</v>
      </c>
      <c r="I88" s="213">
        <f>H88*(1+Parâmetros!G11)*(1+Parâmetros!G12)</f>
        <v>106773.75852431497</v>
      </c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  <c r="FO88" s="77"/>
      <c r="FP88" s="77"/>
      <c r="FQ88" s="77"/>
      <c r="FR88" s="77"/>
      <c r="FS88" s="77"/>
      <c r="FT88" s="77"/>
      <c r="FU88" s="77"/>
    </row>
    <row r="89" spans="1:177" ht="12.75">
      <c r="A89" s="211" t="s">
        <v>332</v>
      </c>
      <c r="B89" s="212" t="s">
        <v>293</v>
      </c>
      <c r="C89" s="76">
        <v>0</v>
      </c>
      <c r="D89" s="76">
        <v>0</v>
      </c>
      <c r="E89" s="76">
        <v>0</v>
      </c>
      <c r="F89" s="76">
        <v>0</v>
      </c>
      <c r="G89" s="213">
        <f>(((D89*(1+Parâmetros!B11)*(1+Parâmetros!C11)*(1+Parâmetros!D11))+(E89*(1+Parâmetros!C11)*(1+Parâmetros!D11)+(F89*(1+Parâmetros!D11))))/3)*(1+Parâmetros!E11)*(1+Parâmetros!E12)</f>
        <v>0</v>
      </c>
      <c r="H89" s="213">
        <f>G89*(1+Parâmetros!F11)*(1+Parâmetros!F12)</f>
        <v>0</v>
      </c>
      <c r="I89" s="213">
        <f>H89*(1+Parâmetros!G11)*(1+Parâmetros!G12)</f>
        <v>0</v>
      </c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  <c r="FO89" s="77"/>
      <c r="FP89" s="77"/>
      <c r="FQ89" s="77"/>
      <c r="FR89" s="77"/>
      <c r="FS89" s="77"/>
      <c r="FT89" s="77"/>
      <c r="FU89" s="77"/>
    </row>
    <row r="90" spans="1:177" ht="12.75">
      <c r="A90" s="211" t="s">
        <v>333</v>
      </c>
      <c r="B90" s="212" t="s">
        <v>295</v>
      </c>
      <c r="C90" s="76">
        <v>0</v>
      </c>
      <c r="D90" s="76">
        <v>0</v>
      </c>
      <c r="E90" s="76">
        <v>0</v>
      </c>
      <c r="F90" s="76">
        <v>0</v>
      </c>
      <c r="G90" s="213">
        <f>(((D90*(1+Parâmetros!B11)*(1+Parâmetros!C11)*(1+Parâmetros!D11))+(E90*(1+Parâmetros!C11)*(1+Parâmetros!D11)+(F90*(1+Parâmetros!D11))))/3)*(1+Parâmetros!E11)*(1+Parâmetros!E12)</f>
        <v>0</v>
      </c>
      <c r="H90" s="213">
        <f>G90*(1+Parâmetros!F11)*(1+Parâmetros!F12)</f>
        <v>0</v>
      </c>
      <c r="I90" s="213">
        <f>H90*(1+Parâmetros!G11)*(1+Parâmetros!G12)</f>
        <v>0</v>
      </c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  <c r="FO90" s="77"/>
      <c r="FP90" s="77"/>
      <c r="FQ90" s="77"/>
      <c r="FR90" s="77"/>
      <c r="FS90" s="77"/>
      <c r="FT90" s="77"/>
      <c r="FU90" s="77"/>
    </row>
    <row r="91" spans="1:177" ht="12.75">
      <c r="A91" s="211" t="s">
        <v>334</v>
      </c>
      <c r="B91" s="212" t="s">
        <v>296</v>
      </c>
      <c r="C91" s="76">
        <v>0</v>
      </c>
      <c r="D91" s="76">
        <v>0</v>
      </c>
      <c r="E91" s="76">
        <v>0</v>
      </c>
      <c r="F91" s="76">
        <v>0</v>
      </c>
      <c r="G91" s="213">
        <f>(((D91*(1+Parâmetros!B11)*(1+Parâmetros!C11)*(1+Parâmetros!D11))+(E91*(1+Parâmetros!C11)*(1+Parâmetros!D11)+(F91*(1+Parâmetros!D11))))/3)*(1+Parâmetros!E11)*(1+Parâmetros!E12)</f>
        <v>0</v>
      </c>
      <c r="H91" s="213">
        <f>G91:G92*(1+Parâmetros!F11)*(1+Parâmetros!F12)</f>
        <v>0</v>
      </c>
      <c r="I91" s="213">
        <f>H91:H92*(1+Parâmetros!G11)*(1+Parâmetros!G12)</f>
        <v>0</v>
      </c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  <c r="FO91" s="77"/>
      <c r="FP91" s="77"/>
      <c r="FQ91" s="77"/>
      <c r="FR91" s="77"/>
      <c r="FS91" s="77"/>
      <c r="FT91" s="77"/>
      <c r="FU91" s="77"/>
    </row>
    <row r="92" spans="1:177" ht="12.75">
      <c r="A92" s="211" t="s">
        <v>335</v>
      </c>
      <c r="B92" s="212" t="s">
        <v>298</v>
      </c>
      <c r="C92" s="76">
        <v>0</v>
      </c>
      <c r="D92" s="76">
        <v>0</v>
      </c>
      <c r="E92" s="76">
        <v>0</v>
      </c>
      <c r="F92" s="76">
        <v>0</v>
      </c>
      <c r="G92" s="213">
        <f>(((D92*(1+Parâmetros!B11)*(1+Parâmetros!C11)*(1+Parâmetros!D11))+(E92*(1+Parâmetros!C11)*(1+Parâmetros!D11)+(F92*(1+Parâmetros!D11))))/3)*(1+Parâmetros!E11)*(1+Parâmetros!E12)</f>
        <v>0</v>
      </c>
      <c r="H92" s="213">
        <f>G92*(1+Parâmetros!F11)*(1+Parâmetros!F12)</f>
        <v>0</v>
      </c>
      <c r="I92" s="213">
        <f>H92*(1+Parâmetros!G11)*(1+Parâmetros!G12)</f>
        <v>0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</row>
    <row r="93" spans="1:177" ht="12.75">
      <c r="A93" s="211" t="s">
        <v>336</v>
      </c>
      <c r="B93" s="212" t="s">
        <v>300</v>
      </c>
      <c r="C93" s="76">
        <v>0</v>
      </c>
      <c r="D93" s="76">
        <v>0</v>
      </c>
      <c r="E93" s="76">
        <v>0</v>
      </c>
      <c r="F93" s="76">
        <v>0</v>
      </c>
      <c r="G93" s="213">
        <f>(((D93*(1+Parâmetros!B11)*(1+Parâmetros!C11)*(1+Parâmetros!D11))+(E93*(1+Parâmetros!C11)*(1+Parâmetros!D11)+(F93*(1+Parâmetros!D11))))/3)*(1+Parâmetros!E11)*(1+Parâmetros!E12)</f>
        <v>0</v>
      </c>
      <c r="H93" s="213">
        <f>G93*(1+Parâmetros!F11)*(1+Parâmetros!F12)</f>
        <v>0</v>
      </c>
      <c r="I93" s="213">
        <f>H93*(1+Parâmetros!G11)*(1+Parâmetros!G12)</f>
        <v>0</v>
      </c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  <c r="FO93" s="77"/>
      <c r="FP93" s="77"/>
      <c r="FQ93" s="77"/>
      <c r="FR93" s="77"/>
      <c r="FS93" s="77"/>
      <c r="FT93" s="77"/>
      <c r="FU93" s="77"/>
    </row>
    <row r="94" spans="1:177" s="7" customFormat="1" ht="12.75">
      <c r="A94" s="208" t="s">
        <v>337</v>
      </c>
      <c r="B94" s="209" t="s">
        <v>338</v>
      </c>
      <c r="C94" s="210">
        <f aca="true" t="shared" si="17" ref="C94:I94">C95+C96</f>
        <v>0</v>
      </c>
      <c r="D94" s="210">
        <f t="shared" si="17"/>
        <v>0</v>
      </c>
      <c r="E94" s="210">
        <f t="shared" si="17"/>
        <v>0</v>
      </c>
      <c r="F94" s="210">
        <f t="shared" si="17"/>
        <v>0</v>
      </c>
      <c r="G94" s="210">
        <f t="shared" si="17"/>
        <v>0</v>
      </c>
      <c r="H94" s="210">
        <f t="shared" si="17"/>
        <v>0</v>
      </c>
      <c r="I94" s="210">
        <f t="shared" si="17"/>
        <v>0</v>
      </c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</row>
    <row r="95" spans="1:177" ht="12.75">
      <c r="A95" s="211" t="s">
        <v>339</v>
      </c>
      <c r="B95" s="214" t="s">
        <v>340</v>
      </c>
      <c r="C95" s="76">
        <v>0</v>
      </c>
      <c r="D95" s="76">
        <v>0</v>
      </c>
      <c r="E95" s="76">
        <v>0</v>
      </c>
      <c r="F95" s="76">
        <v>0</v>
      </c>
      <c r="G95" s="213">
        <f>(((D95*(1+Parâmetros!B11)*(1+Parâmetros!C11)*(1+Parâmetros!D11))+(E95*(1+Parâmetros!C11)*(1+Parâmetros!D11)+(F95*(1+Parâmetros!D11))))/3)*(1+Parâmetros!E11)</f>
        <v>0</v>
      </c>
      <c r="H95" s="213">
        <f>G95*(1+Parâmetros!F11)</f>
        <v>0</v>
      </c>
      <c r="I95" s="213">
        <f>H95*(1+Parâmetros!G11)</f>
        <v>0</v>
      </c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</row>
    <row r="96" spans="1:177" ht="12.75">
      <c r="A96" s="211" t="s">
        <v>341</v>
      </c>
      <c r="B96" s="214" t="s">
        <v>342</v>
      </c>
      <c r="C96" s="76">
        <v>0</v>
      </c>
      <c r="D96" s="76">
        <v>0</v>
      </c>
      <c r="E96" s="76">
        <v>0</v>
      </c>
      <c r="F96" s="76">
        <v>0</v>
      </c>
      <c r="G96" s="213">
        <f>(((D96*(1+Parâmetros!B11)*(1+Parâmetros!C11)*(1+Parâmetros!D11))+(E96*(1+Parâmetros!C11)*(1+Parâmetros!D11)+(F96*(1+Parâmetros!D11))))/3)*(1+Parâmetros!E11)</f>
        <v>0</v>
      </c>
      <c r="H96" s="213">
        <f>G96*(1+Parâmetros!F11)</f>
        <v>0</v>
      </c>
      <c r="I96" s="213">
        <f>H96*(1+Parâmetros!G11)</f>
        <v>0</v>
      </c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</row>
    <row r="97" spans="1:9" s="80" customFormat="1" ht="18">
      <c r="A97" s="215" t="s">
        <v>343</v>
      </c>
      <c r="B97" s="212" t="s">
        <v>601</v>
      </c>
      <c r="C97" s="76">
        <v>3833596.18</v>
      </c>
      <c r="D97" s="81">
        <v>5688127.24</v>
      </c>
      <c r="E97" s="76">
        <v>6745303.75</v>
      </c>
      <c r="F97" s="76">
        <f>'[1]Receita'!$H$782</f>
        <v>7580000</v>
      </c>
      <c r="G97" s="213">
        <f>(((D97*(1+Parâmetros!B11)*(1+Parâmetros!C11)*(1+Parâmetros!D11))+(E97*(1+Parâmetros!C11)*(1+Parâmetros!D11)+(F97*(1+Parâmetros!D11))))/3)*(1+Parâmetros!E11)*(1+Parâmetros!E13)*(1+Parâmetros!E18)</f>
        <v>7870391.606962069</v>
      </c>
      <c r="H97" s="213">
        <f>G97*(1+Parâmetros!F11)*(1+Parâmetros!F13)*(1+Parâmetros!F18)</f>
        <v>8404632.115855698</v>
      </c>
      <c r="I97" s="213">
        <f>H97*(1+Parâmetros!G11)*(1+Parâmetros!G13)*(1+Parâmetros!G18)</f>
        <v>8886344.642174248</v>
      </c>
    </row>
    <row r="98" spans="1:9" s="80" customFormat="1" ht="18">
      <c r="A98" s="211" t="s">
        <v>344</v>
      </c>
      <c r="B98" s="212" t="s">
        <v>345</v>
      </c>
      <c r="C98" s="76">
        <v>0</v>
      </c>
      <c r="D98" s="76">
        <v>0</v>
      </c>
      <c r="E98" s="76">
        <v>0</v>
      </c>
      <c r="F98" s="76">
        <v>0</v>
      </c>
      <c r="G98" s="213">
        <f>(((D98*(1+Parâmetros!B11)*(1+Parâmetros!C11)*(1+Parâmetros!D11))+(E98*(1+Parâmetros!C11)*(1+Parâmetros!D11)+(F98*(1+Parâmetros!D11))))/3)*(1+Parâmetros!E11)</f>
        <v>0</v>
      </c>
      <c r="H98" s="213"/>
      <c r="I98" s="213"/>
    </row>
    <row r="99" spans="1:177" s="10" customFormat="1" ht="30.75" customHeight="1">
      <c r="A99" s="208" t="s">
        <v>346</v>
      </c>
      <c r="B99" s="209" t="s">
        <v>596</v>
      </c>
      <c r="C99" s="210">
        <f aca="true" t="shared" si="18" ref="C99:I99">C100+C101+C102+C103</f>
        <v>-6847477.316000001</v>
      </c>
      <c r="D99" s="210">
        <f t="shared" si="18"/>
        <v>-7466933.728</v>
      </c>
      <c r="E99" s="210">
        <f t="shared" si="18"/>
        <v>-7892851.024</v>
      </c>
      <c r="F99" s="210">
        <f t="shared" si="18"/>
        <v>-7678200</v>
      </c>
      <c r="G99" s="210">
        <f t="shared" si="18"/>
        <v>-8803176.733145548</v>
      </c>
      <c r="H99" s="210">
        <f t="shared" si="18"/>
        <v>-9177925.120896878</v>
      </c>
      <c r="I99" s="210">
        <f t="shared" si="18"/>
        <v>-9645589.814856026</v>
      </c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</row>
    <row r="100" spans="1:177" ht="12.75">
      <c r="A100" s="211" t="s">
        <v>347</v>
      </c>
      <c r="B100" s="212" t="s">
        <v>597</v>
      </c>
      <c r="C100" s="40">
        <v>0</v>
      </c>
      <c r="D100" s="40">
        <v>0</v>
      </c>
      <c r="E100" s="40">
        <v>0</v>
      </c>
      <c r="F100" s="40">
        <v>0</v>
      </c>
      <c r="G100" s="213">
        <f>(((D100*(1+Parâmetros!B11)*(1+Parâmetros!C11)*(1+Parâmetros!D11))+(E100*(1+Parâmetros!C11)*(1+Parâmetros!D11)+(F100*(1+Parâmetros!D11))))/3)*(1+Parâmetros!E11)</f>
        <v>0</v>
      </c>
      <c r="H100" s="213">
        <f>G100*(1+Parâmetros!F11)</f>
        <v>0</v>
      </c>
      <c r="I100" s="213">
        <f>H100*(1+Parâmetros!G11)</f>
        <v>0</v>
      </c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</row>
    <row r="101" spans="1:177" ht="12.75">
      <c r="A101" s="208" t="s">
        <v>348</v>
      </c>
      <c r="B101" s="209" t="s">
        <v>349</v>
      </c>
      <c r="C101" s="217">
        <f aca="true" t="shared" si="19" ref="C101:I101">-((C41+C44+C49+C52+C53+C54)*0.2)</f>
        <v>-5419910.596000001</v>
      </c>
      <c r="D101" s="217">
        <f t="shared" si="19"/>
        <v>-5913304.298</v>
      </c>
      <c r="E101" s="217">
        <f t="shared" si="19"/>
        <v>-5980729.334000001</v>
      </c>
      <c r="F101" s="217">
        <f t="shared" si="19"/>
        <v>-6328200</v>
      </c>
      <c r="G101" s="217">
        <f t="shared" si="19"/>
        <v>-6976961.172634427</v>
      </c>
      <c r="H101" s="217">
        <f t="shared" si="19"/>
        <v>-7278113.073297158</v>
      </c>
      <c r="I101" s="217">
        <f t="shared" si="19"/>
        <v>-7671685.097399917</v>
      </c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</row>
    <row r="102" spans="1:177" ht="15">
      <c r="A102" s="211" t="s">
        <v>350</v>
      </c>
      <c r="B102" s="212" t="s">
        <v>598</v>
      </c>
      <c r="C102" s="81">
        <v>-1240644.19</v>
      </c>
      <c r="D102" s="81">
        <v>-1305968.96</v>
      </c>
      <c r="E102" s="40">
        <v>-1684020.68</v>
      </c>
      <c r="F102" s="40">
        <f>-'[1]Receita'!$H$825+'[1]Receita'!$H$879+'[1]Receita'!$H$923</f>
        <v>-1350000</v>
      </c>
      <c r="G102" s="213">
        <f>(((D102*(1+Parâmetros!B11)*(1+Parâmetros!C11)*(1+Parâmetros!D11))+(E102*(1+Parâmetros!C11)*(1+Parâmetros!D11)+(F102*(1+Parâmetros!D11))))/3)*(1+Parâmetros!E11)</f>
        <v>-1641684.5216313447</v>
      </c>
      <c r="H102" s="213">
        <f>G102*(1+Parâmetros!F11)</f>
        <v>-1707844.4078530879</v>
      </c>
      <c r="I102" s="213">
        <f>H102*(1+Parâmetros!G11)</f>
        <v>-1774450.3397593582</v>
      </c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  <c r="FO102" s="77"/>
      <c r="FP102" s="77"/>
      <c r="FQ102" s="77"/>
      <c r="FR102" s="77"/>
      <c r="FS102" s="77"/>
      <c r="FT102" s="77"/>
      <c r="FU102" s="77"/>
    </row>
    <row r="103" spans="1:177" ht="25.5">
      <c r="A103" s="211" t="s">
        <v>351</v>
      </c>
      <c r="B103" s="212" t="s">
        <v>599</v>
      </c>
      <c r="C103" s="81">
        <v>-186922.53</v>
      </c>
      <c r="D103" s="81">
        <v>-247660.47</v>
      </c>
      <c r="E103" s="40">
        <v>-228101.01</v>
      </c>
      <c r="F103" s="40">
        <v>0</v>
      </c>
      <c r="G103" s="213">
        <f>(((D103*(1+Parâmetros!B11)*(1+Parâmetros!C11)*(1+Parâmetros!D11))+(E103*(1+Parâmetros!C11)*(1+Parâmetros!D11)+(F103*(1+Parâmetros!D11))))/3)*(1+Parâmetros!E11)</f>
        <v>-184531.03887977658</v>
      </c>
      <c r="H103" s="213">
        <f>G103*(1+Parâmetros!F11)</f>
        <v>-191967.63974663158</v>
      </c>
      <c r="I103" s="213">
        <f>H103*(1+Parâmetros!G11)</f>
        <v>-199454.3776967502</v>
      </c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</row>
    <row r="104" spans="1:177" ht="12.75">
      <c r="A104" s="218"/>
      <c r="B104" s="219"/>
      <c r="C104" s="216"/>
      <c r="D104" s="216"/>
      <c r="E104" s="216"/>
      <c r="F104" s="216"/>
      <c r="G104" s="213"/>
      <c r="H104" s="213"/>
      <c r="I104" s="213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  <c r="FO104" s="77"/>
      <c r="FP104" s="77"/>
      <c r="FQ104" s="77"/>
      <c r="FR104" s="77"/>
      <c r="FS104" s="77"/>
      <c r="FT104" s="77"/>
      <c r="FU104" s="77"/>
    </row>
    <row r="105" spans="1:177" s="9" customFormat="1" ht="25.5" customHeight="1">
      <c r="A105" s="220"/>
      <c r="B105" s="221" t="s">
        <v>482</v>
      </c>
      <c r="C105" s="217">
        <f aca="true" t="shared" si="20" ref="C105:I105">C8+C78+C97+C98+C99</f>
        <v>65531785.074000016</v>
      </c>
      <c r="D105" s="217">
        <f t="shared" si="20"/>
        <v>79279777.762</v>
      </c>
      <c r="E105" s="217">
        <f t="shared" si="20"/>
        <v>81394294.48599999</v>
      </c>
      <c r="F105" s="217">
        <f t="shared" si="20"/>
        <v>84971600</v>
      </c>
      <c r="G105" s="217">
        <f>G8+G78+G97+G98+G99</f>
        <v>94005814.67401081</v>
      </c>
      <c r="H105" s="217">
        <f t="shared" si="20"/>
        <v>98250730.32601207</v>
      </c>
      <c r="I105" s="217">
        <f t="shared" si="20"/>
        <v>102840675.60321666</v>
      </c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  <c r="DG105" s="94"/>
      <c r="DH105" s="94"/>
      <c r="DI105" s="94"/>
      <c r="DJ105" s="94"/>
      <c r="DK105" s="94"/>
      <c r="DL105" s="94"/>
      <c r="DM105" s="94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</row>
    <row r="106" spans="1:177" ht="12.75">
      <c r="A106" s="54"/>
      <c r="B106" s="54"/>
      <c r="C106" s="55"/>
      <c r="D106" s="55"/>
      <c r="E106" s="55"/>
      <c r="F106" s="55"/>
      <c r="G106" s="97"/>
      <c r="H106" s="97"/>
      <c r="I106" s="9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  <c r="FO106" s="77"/>
      <c r="FP106" s="77"/>
      <c r="FQ106" s="77"/>
      <c r="FR106" s="77"/>
      <c r="FS106" s="77"/>
      <c r="FT106" s="77"/>
      <c r="FU106" s="77"/>
    </row>
    <row r="107" spans="1:177" ht="15.75">
      <c r="A107" s="457" t="str">
        <f>Parâmetros!A7</f>
        <v>Município de :Ivoti</v>
      </c>
      <c r="B107" s="455"/>
      <c r="C107" s="455"/>
      <c r="D107" s="455"/>
      <c r="E107" s="455"/>
      <c r="F107" s="455"/>
      <c r="G107" s="455"/>
      <c r="H107" s="455"/>
      <c r="I107" s="455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</row>
    <row r="108" spans="1:177" ht="15.75">
      <c r="A108" s="456" t="str">
        <f>Parâmetros!A8</f>
        <v>LEI DE DIRETRIZES ORÇAMENTÁRIAS  PARA 2019</v>
      </c>
      <c r="B108" s="455"/>
      <c r="C108" s="455"/>
      <c r="D108" s="455"/>
      <c r="E108" s="455"/>
      <c r="F108" s="455"/>
      <c r="G108" s="455"/>
      <c r="H108" s="455"/>
      <c r="I108" s="455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</row>
    <row r="109" spans="1:177" ht="15.75">
      <c r="A109" s="454" t="s">
        <v>481</v>
      </c>
      <c r="B109" s="455"/>
      <c r="C109" s="455"/>
      <c r="D109" s="455"/>
      <c r="E109" s="455"/>
      <c r="F109" s="455"/>
      <c r="G109" s="455"/>
      <c r="H109" s="455"/>
      <c r="I109" s="455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  <c r="FO109" s="77"/>
      <c r="FP109" s="77"/>
      <c r="FQ109" s="77"/>
      <c r="FR109" s="77"/>
      <c r="FS109" s="77"/>
      <c r="FT109" s="77"/>
      <c r="FU109" s="77"/>
    </row>
    <row r="110" spans="1:177" ht="15">
      <c r="A110" s="54"/>
      <c r="B110" s="54"/>
      <c r="C110" s="55"/>
      <c r="D110" s="55"/>
      <c r="E110" s="55"/>
      <c r="F110" s="55"/>
      <c r="G110" s="97"/>
      <c r="H110" s="97"/>
      <c r="I110" s="19" t="s">
        <v>55</v>
      </c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  <c r="FO110" s="77"/>
      <c r="FP110" s="77"/>
      <c r="FQ110" s="77"/>
      <c r="FR110" s="77"/>
      <c r="FS110" s="77"/>
      <c r="FT110" s="77"/>
      <c r="FU110" s="77"/>
    </row>
    <row r="111" spans="1:177" s="1" customFormat="1" ht="15.75">
      <c r="A111" s="225"/>
      <c r="B111" s="226" t="s">
        <v>0</v>
      </c>
      <c r="C111" s="227" t="s">
        <v>479</v>
      </c>
      <c r="D111" s="227" t="s">
        <v>479</v>
      </c>
      <c r="E111" s="227" t="s">
        <v>479</v>
      </c>
      <c r="F111" s="228" t="s">
        <v>480</v>
      </c>
      <c r="G111" s="228" t="s">
        <v>12</v>
      </c>
      <c r="H111" s="229" t="s">
        <v>12</v>
      </c>
      <c r="I111" s="230" t="s">
        <v>12</v>
      </c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</row>
    <row r="112" spans="1:177" s="1" customFormat="1" ht="27.75" customHeight="1">
      <c r="A112" s="231"/>
      <c r="B112" s="232" t="s">
        <v>8</v>
      </c>
      <c r="C112" s="233">
        <f>C7</f>
        <v>2015</v>
      </c>
      <c r="D112" s="234">
        <f aca="true" t="shared" si="21" ref="D112:I112">C112+1</f>
        <v>2016</v>
      </c>
      <c r="E112" s="234">
        <f t="shared" si="21"/>
        <v>2017</v>
      </c>
      <c r="F112" s="234">
        <f t="shared" si="21"/>
        <v>2018</v>
      </c>
      <c r="G112" s="234">
        <f t="shared" si="21"/>
        <v>2019</v>
      </c>
      <c r="H112" s="234">
        <f t="shared" si="21"/>
        <v>2020</v>
      </c>
      <c r="I112" s="234">
        <f t="shared" si="21"/>
        <v>2021</v>
      </c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</row>
    <row r="113" spans="1:177" s="82" customFormat="1" ht="15.75">
      <c r="A113" s="222" t="s">
        <v>42</v>
      </c>
      <c r="B113" s="223" t="s">
        <v>1</v>
      </c>
      <c r="C113" s="224">
        <f aca="true" t="shared" si="22" ref="C113:I113">C114+C119+C124</f>
        <v>54386717.69</v>
      </c>
      <c r="D113" s="224">
        <f t="shared" si="22"/>
        <v>62186375.04000001</v>
      </c>
      <c r="E113" s="224">
        <f t="shared" si="22"/>
        <v>65067142.94</v>
      </c>
      <c r="F113" s="224">
        <f t="shared" si="22"/>
        <v>66665674.28638096</v>
      </c>
      <c r="G113" s="224">
        <f t="shared" si="22"/>
        <v>74088335.21157622</v>
      </c>
      <c r="H113" s="224">
        <f t="shared" si="22"/>
        <v>76836093.73490906</v>
      </c>
      <c r="I113" s="224">
        <f t="shared" si="22"/>
        <v>79467326.11481073</v>
      </c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</row>
    <row r="114" spans="1:177" s="82" customFormat="1" ht="15.75">
      <c r="A114" s="222" t="s">
        <v>43</v>
      </c>
      <c r="B114" s="223" t="s">
        <v>44</v>
      </c>
      <c r="C114" s="224">
        <f aca="true" t="shared" si="23" ref="C114:I114">C115+C116+C117+C118</f>
        <v>29752498.18</v>
      </c>
      <c r="D114" s="224">
        <f t="shared" si="23"/>
        <v>34416784.71</v>
      </c>
      <c r="E114" s="224">
        <f t="shared" si="23"/>
        <v>38500769.17</v>
      </c>
      <c r="F114" s="224">
        <f t="shared" si="23"/>
        <v>39429431.92209524</v>
      </c>
      <c r="G114" s="224">
        <f t="shared" si="23"/>
        <v>43397423.40381244</v>
      </c>
      <c r="H114" s="224">
        <f t="shared" si="23"/>
        <v>46261283.3065895</v>
      </c>
      <c r="I114" s="224">
        <f t="shared" si="23"/>
        <v>48648949.93729234</v>
      </c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</row>
    <row r="115" spans="1:177" s="8" customFormat="1" ht="15">
      <c r="A115" s="235" t="s">
        <v>43</v>
      </c>
      <c r="B115" s="236" t="s">
        <v>352</v>
      </c>
      <c r="C115" s="81">
        <f>24550857.05+219795.38</f>
        <v>24770652.43</v>
      </c>
      <c r="D115" s="81">
        <f>26611962.65+108289.46</f>
        <v>26720252.11</v>
      </c>
      <c r="E115" s="81">
        <v>28926787.55</v>
      </c>
      <c r="F115" s="81">
        <f>'[1]Paga Ent1'!$F$16+'[1]Paga Ent1'!$F$23+69354.98</f>
        <v>29414691.156</v>
      </c>
      <c r="G115" s="213">
        <f>(((D115*(1+Parâmetros!B11)*(1+Parâmetros!C11)*(1+Parâmetros!D11))+(E115*(1+Parâmetros!C11)*(1+Parâmetros!D11)+(F115*(1+Parâmetros!D11))))/3)*(1+Parâmetros!E11)*(1+Parâmetros!E13)*(1+Parâmetros!E18)</f>
        <v>33555122.430739336</v>
      </c>
      <c r="H115" s="237">
        <f>G115*(1+Parâmetros!F11)*(1+Parâmetros!F13)*(1+Parâmetros!F18)</f>
        <v>35832837.00691476</v>
      </c>
      <c r="I115" s="237">
        <f>H115*(1+Parâmetros!G11)*(1+Parâmetros!G13)*(1+Parâmetros!G18)</f>
        <v>37886600.47946437</v>
      </c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</row>
    <row r="116" spans="1:177" s="8" customFormat="1" ht="15">
      <c r="A116" s="235" t="s">
        <v>43</v>
      </c>
      <c r="B116" s="236" t="s">
        <v>353</v>
      </c>
      <c r="C116" s="81">
        <v>264485.04</v>
      </c>
      <c r="D116" s="81">
        <v>290433.34</v>
      </c>
      <c r="E116" s="81">
        <v>320023.84</v>
      </c>
      <c r="F116" s="81">
        <f>'[1]Paga Ent2'!$E$15</f>
        <v>332306.3314285714</v>
      </c>
      <c r="G116" s="213">
        <f>(((D116*(1+Parâmetros!B11)*(1+Parâmetros!C11)*(1+Parâmetros!D11))+(E116*(1+Parâmetros!C11)*(1+Parâmetros!D11)+(F116*(1+Parâmetros!D11))))/3)*(1+Parâmetros!E11)*(1+Parâmetros!E13)*(1+Parâmetros!E19)</f>
        <v>371667.1261300774</v>
      </c>
      <c r="H116" s="237">
        <f>G116*(1+Parâmetros!F11)*(1+Parâmetros!F13)*(1+Parâmetros!F19)</f>
        <v>396895.81162866444</v>
      </c>
      <c r="I116" s="237">
        <f>H116*(1+Parâmetros!G11)*(1+Parâmetros!G13)*(1+Parâmetros!G19)</f>
        <v>419643.9440239192</v>
      </c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</row>
    <row r="117" spans="1:177" s="8" customFormat="1" ht="14.25" customHeight="1">
      <c r="A117" s="235" t="s">
        <v>43</v>
      </c>
      <c r="B117" s="236" t="s">
        <v>189</v>
      </c>
      <c r="C117" s="81">
        <v>1151885.76</v>
      </c>
      <c r="D117" s="81">
        <v>1837184</v>
      </c>
      <c r="E117" s="81">
        <v>2654697.01</v>
      </c>
      <c r="F117" s="81">
        <f>'[1]Paga Ent3'!$E$15</f>
        <v>2677192.492</v>
      </c>
      <c r="G117" s="213">
        <f>(((D117*(1+Parâmetros!B11)*(1+Parâmetros!C11)*(1+Parâmetros!D11))+(E117*(1+Parâmetros!C11)*(1+Parâmetros!D11)+(F117*(1+Parâmetros!D11))))/3)*(1+Parâmetros!E11)*(1+Parâmetros!E13)*(1+Parâmetros!E18)</f>
        <v>2814901.3546980037</v>
      </c>
      <c r="H117" s="237">
        <f>G117*(1+Parâmetros!F11)*(1+Parâmetros!F13)*(1+Parâmetros!F18)</f>
        <v>3005976.260156196</v>
      </c>
      <c r="I117" s="237">
        <f>H117*(1+Parâmetros!G11)*(1+Parâmetros!G13)*(1+Parâmetros!G18)</f>
        <v>3178264.1602537725</v>
      </c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</row>
    <row r="118" spans="1:177" s="412" customFormat="1" ht="14.25" customHeight="1">
      <c r="A118" s="235" t="s">
        <v>606</v>
      </c>
      <c r="B118" s="238" t="s">
        <v>614</v>
      </c>
      <c r="C118" s="81">
        <f>3302236.1+263238.85</f>
        <v>3565474.95</v>
      </c>
      <c r="D118" s="81">
        <f>4965034.15+603881.11</f>
        <v>5568915.260000001</v>
      </c>
      <c r="E118" s="81">
        <f>5689399.15+909861.62</f>
        <v>6599260.7700000005</v>
      </c>
      <c r="F118" s="81">
        <f>'[1]Paga Ent1'!$F$185+1042367.9</f>
        <v>7005241.9426666675</v>
      </c>
      <c r="G118" s="213">
        <f>((D118+E118+F118)/3)*(1+Parâmetros!E11)</f>
        <v>6655732.492245023</v>
      </c>
      <c r="H118" s="237">
        <f>((E118+F118+G118)/3)*(1+Parâmetros!F11)</f>
        <v>7025574.227889877</v>
      </c>
      <c r="I118" s="237">
        <f>((F118+G118+H118)/3)*(1+Parâmetros!G11)</f>
        <v>7164441.353550276</v>
      </c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411"/>
      <c r="V118" s="411"/>
      <c r="W118" s="411"/>
      <c r="X118" s="411"/>
      <c r="Y118" s="411"/>
      <c r="Z118" s="411"/>
      <c r="AA118" s="411"/>
      <c r="AB118" s="411"/>
      <c r="AC118" s="411"/>
      <c r="AD118" s="411"/>
      <c r="AE118" s="411"/>
      <c r="AF118" s="411"/>
      <c r="AG118" s="411"/>
      <c r="AH118" s="411"/>
      <c r="AI118" s="411"/>
      <c r="AJ118" s="411"/>
      <c r="AK118" s="411"/>
      <c r="AL118" s="411"/>
      <c r="AM118" s="411"/>
      <c r="AN118" s="411"/>
      <c r="AO118" s="411"/>
      <c r="AP118" s="411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411"/>
      <c r="BA118" s="411"/>
      <c r="BB118" s="411"/>
      <c r="BC118" s="411"/>
      <c r="BD118" s="411"/>
      <c r="BE118" s="411"/>
      <c r="BF118" s="411"/>
      <c r="BG118" s="411"/>
      <c r="BH118" s="411"/>
      <c r="BI118" s="411"/>
      <c r="BJ118" s="411"/>
      <c r="BK118" s="411"/>
      <c r="BL118" s="411"/>
      <c r="BM118" s="411"/>
      <c r="BN118" s="411"/>
      <c r="BO118" s="411"/>
      <c r="BP118" s="411"/>
      <c r="BQ118" s="411"/>
      <c r="BR118" s="411"/>
      <c r="BS118" s="411"/>
      <c r="BT118" s="411"/>
      <c r="BU118" s="411"/>
      <c r="BV118" s="411"/>
      <c r="BW118" s="411"/>
      <c r="BX118" s="411"/>
      <c r="BY118" s="411"/>
      <c r="BZ118" s="411"/>
      <c r="CA118" s="411"/>
      <c r="CB118" s="411"/>
      <c r="CC118" s="411"/>
      <c r="CD118" s="411"/>
      <c r="CE118" s="411"/>
      <c r="CF118" s="411"/>
      <c r="CG118" s="411"/>
      <c r="CH118" s="411"/>
      <c r="CI118" s="411"/>
      <c r="CJ118" s="411"/>
      <c r="CK118" s="411"/>
      <c r="CL118" s="411"/>
      <c r="CM118" s="411"/>
      <c r="CN118" s="411"/>
      <c r="CO118" s="411"/>
      <c r="CP118" s="411"/>
      <c r="CQ118" s="411"/>
      <c r="CR118" s="411"/>
      <c r="CS118" s="411"/>
      <c r="CT118" s="411"/>
      <c r="CU118" s="411"/>
      <c r="CV118" s="411"/>
      <c r="CW118" s="411"/>
      <c r="CX118" s="411"/>
      <c r="CY118" s="411"/>
      <c r="CZ118" s="411"/>
      <c r="DA118" s="411"/>
      <c r="DB118" s="411"/>
      <c r="DC118" s="411"/>
      <c r="DD118" s="411"/>
      <c r="DE118" s="411"/>
      <c r="DF118" s="411"/>
      <c r="DG118" s="411"/>
      <c r="DH118" s="411"/>
      <c r="DI118" s="411"/>
      <c r="DJ118" s="411"/>
      <c r="DK118" s="411"/>
      <c r="DL118" s="411"/>
      <c r="DM118" s="411"/>
      <c r="DN118" s="411"/>
      <c r="DO118" s="411"/>
      <c r="DP118" s="411"/>
      <c r="DQ118" s="411"/>
      <c r="DR118" s="411"/>
      <c r="DS118" s="411"/>
      <c r="DT118" s="411"/>
      <c r="DU118" s="411"/>
      <c r="DV118" s="411"/>
      <c r="DW118" s="411"/>
      <c r="DX118" s="411"/>
      <c r="DY118" s="411"/>
      <c r="DZ118" s="411"/>
      <c r="EA118" s="411"/>
      <c r="EB118" s="411"/>
      <c r="EC118" s="411"/>
      <c r="ED118" s="411"/>
      <c r="EE118" s="411"/>
      <c r="EF118" s="411"/>
      <c r="EG118" s="411"/>
      <c r="EH118" s="411"/>
      <c r="EI118" s="411"/>
      <c r="EJ118" s="411"/>
      <c r="EK118" s="411"/>
      <c r="EL118" s="411"/>
      <c r="EM118" s="411"/>
      <c r="EN118" s="411"/>
      <c r="EO118" s="411"/>
      <c r="EP118" s="411"/>
      <c r="EQ118" s="411"/>
      <c r="ER118" s="411"/>
      <c r="ES118" s="411"/>
      <c r="ET118" s="411"/>
      <c r="EU118" s="411"/>
      <c r="EV118" s="411"/>
      <c r="EW118" s="411"/>
      <c r="EX118" s="411"/>
      <c r="EY118" s="411"/>
      <c r="EZ118" s="411"/>
      <c r="FA118" s="411"/>
      <c r="FB118" s="411"/>
      <c r="FC118" s="411"/>
      <c r="FD118" s="411"/>
      <c r="FE118" s="411"/>
      <c r="FF118" s="411"/>
      <c r="FG118" s="411"/>
      <c r="FH118" s="411"/>
      <c r="FI118" s="411"/>
      <c r="FJ118" s="411"/>
      <c r="FK118" s="411"/>
      <c r="FL118" s="411"/>
      <c r="FM118" s="411"/>
      <c r="FN118" s="411"/>
      <c r="FO118" s="411"/>
      <c r="FP118" s="411"/>
      <c r="FQ118" s="411"/>
      <c r="FR118" s="411"/>
      <c r="FS118" s="411"/>
      <c r="FT118" s="411"/>
      <c r="FU118" s="411"/>
    </row>
    <row r="119" spans="1:177" s="83" customFormat="1" ht="15.75">
      <c r="A119" s="222" t="s">
        <v>45</v>
      </c>
      <c r="B119" s="223" t="s">
        <v>128</v>
      </c>
      <c r="C119" s="224">
        <f aca="true" t="shared" si="24" ref="C119:I119">C120+C121+C122+C123</f>
        <v>0</v>
      </c>
      <c r="D119" s="224">
        <f t="shared" si="24"/>
        <v>17977.49</v>
      </c>
      <c r="E119" s="224">
        <f t="shared" si="24"/>
        <v>150626.48</v>
      </c>
      <c r="F119" s="224">
        <f t="shared" si="24"/>
        <v>123011.46857142856</v>
      </c>
      <c r="G119" s="224">
        <f t="shared" si="24"/>
        <v>111611.22685905863</v>
      </c>
      <c r="H119" s="224">
        <f t="shared" si="24"/>
        <v>120752.18633881555</v>
      </c>
      <c r="I119" s="224">
        <f t="shared" si="24"/>
        <v>0</v>
      </c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  <c r="FO119" s="77"/>
      <c r="FP119" s="77"/>
      <c r="FQ119" s="77"/>
      <c r="FR119" s="77"/>
      <c r="FS119" s="77"/>
      <c r="FT119" s="77"/>
      <c r="FU119" s="77"/>
    </row>
    <row r="120" spans="1:177" ht="15">
      <c r="A120" s="235" t="s">
        <v>45</v>
      </c>
      <c r="B120" s="236" t="s">
        <v>354</v>
      </c>
      <c r="C120" s="81">
        <v>0</v>
      </c>
      <c r="D120" s="81">
        <v>17977.49</v>
      </c>
      <c r="E120" s="81">
        <v>150626.48</v>
      </c>
      <c r="F120" s="81">
        <f>'[1]Paga Ent1'!$F$199</f>
        <v>123011.46857142856</v>
      </c>
      <c r="G120" s="213">
        <f>(((D120*(1+Parâmetros!B11)*(1+Parâmetros!C11)*(1+Parâmetros!D11))+(E120*(1+Parâmetros!C11)*(1+Parâmetros!D11)+(F120*(1+Parâmetros!D11))))/3)*(1+Parâmetros!E21)</f>
        <v>111611.22685905863</v>
      </c>
      <c r="H120" s="237">
        <f>G120*(1+Parâmetros!F21)</f>
        <v>120752.18633881555</v>
      </c>
      <c r="I120" s="237"/>
      <c r="J120" s="424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  <c r="FO120" s="77"/>
      <c r="FP120" s="77"/>
      <c r="FQ120" s="77"/>
      <c r="FR120" s="77"/>
      <c r="FS120" s="77"/>
      <c r="FT120" s="77"/>
      <c r="FU120" s="77"/>
    </row>
    <row r="121" spans="1:177" ht="15">
      <c r="A121" s="235" t="s">
        <v>45</v>
      </c>
      <c r="B121" s="236" t="s">
        <v>355</v>
      </c>
      <c r="C121" s="81">
        <v>0</v>
      </c>
      <c r="D121" s="81">
        <v>0</v>
      </c>
      <c r="E121" s="81">
        <v>0</v>
      </c>
      <c r="F121" s="81">
        <v>0</v>
      </c>
      <c r="G121" s="213">
        <f>(((D121*(1+Parâmetros!B11)*(1+Parâmetros!C11)*(1+Parâmetros!D11))+(E121*(1+Parâmetros!C11)*(1+Parâmetros!D11)+(F121*(1+Parâmetros!D11))))/3)*(1+Parâmetros!E21)</f>
        <v>0</v>
      </c>
      <c r="H121" s="237">
        <f>G121*(1+Parâmetros!F21)</f>
        <v>0</v>
      </c>
      <c r="I121" s="237">
        <f>H121*(1+Parâmetros!G21)</f>
        <v>0</v>
      </c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  <c r="FO121" s="77"/>
      <c r="FP121" s="77"/>
      <c r="FQ121" s="77"/>
      <c r="FR121" s="77"/>
      <c r="FS121" s="77"/>
      <c r="FT121" s="77"/>
      <c r="FU121" s="77"/>
    </row>
    <row r="122" spans="1:177" ht="15">
      <c r="A122" s="235" t="s">
        <v>45</v>
      </c>
      <c r="B122" s="236" t="s">
        <v>190</v>
      </c>
      <c r="C122" s="81">
        <v>0</v>
      </c>
      <c r="D122" s="81">
        <v>0</v>
      </c>
      <c r="E122" s="81">
        <v>0</v>
      </c>
      <c r="F122" s="81">
        <v>0</v>
      </c>
      <c r="G122" s="213">
        <f>(((D122*(1+Parâmetros!B11)*(1+Parâmetros!C11)*(1+Parâmetros!D11))+(E122*(1+Parâmetros!C11)*(1+Parâmetros!D11)+(F122*(1+Parâmetros!D11))))/3)*(1+Parâmetros!E21)</f>
        <v>0</v>
      </c>
      <c r="H122" s="237">
        <f>G122*(1+Parâmetros!F21)</f>
        <v>0</v>
      </c>
      <c r="I122" s="237">
        <f>H122*(1+Parâmetros!G21)</f>
        <v>0</v>
      </c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  <c r="FO122" s="77"/>
      <c r="FP122" s="77"/>
      <c r="FQ122" s="77"/>
      <c r="FR122" s="77"/>
      <c r="FS122" s="77"/>
      <c r="FT122" s="77"/>
      <c r="FU122" s="77"/>
    </row>
    <row r="123" spans="1:177" ht="15.75">
      <c r="A123" s="235" t="s">
        <v>607</v>
      </c>
      <c r="B123" s="236" t="s">
        <v>615</v>
      </c>
      <c r="C123" s="81"/>
      <c r="D123" s="81"/>
      <c r="E123" s="81"/>
      <c r="F123" s="81"/>
      <c r="G123" s="213">
        <f>((D123+E123+F123)/3)*(1+Parâmetros!E11)</f>
        <v>0</v>
      </c>
      <c r="H123" s="213">
        <f>((E123+F123+G123)/3)*(1+Parâmetros!F11)</f>
        <v>0</v>
      </c>
      <c r="I123" s="213">
        <f>((F123+G123+H123)/3)*(1+Parâmetros!G11)</f>
        <v>0</v>
      </c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  <c r="FO123" s="77"/>
      <c r="FP123" s="77"/>
      <c r="FQ123" s="77"/>
      <c r="FR123" s="77"/>
      <c r="FS123" s="77"/>
      <c r="FT123" s="77"/>
      <c r="FU123" s="77"/>
    </row>
    <row r="124" spans="1:177" s="82" customFormat="1" ht="15.75">
      <c r="A124" s="222" t="s">
        <v>46</v>
      </c>
      <c r="B124" s="223" t="s">
        <v>47</v>
      </c>
      <c r="C124" s="224">
        <f aca="true" t="shared" si="25" ref="C124:I124">C125+C126+C127+C128</f>
        <v>24634219.509999998</v>
      </c>
      <c r="D124" s="224">
        <f t="shared" si="25"/>
        <v>27751612.84</v>
      </c>
      <c r="E124" s="224">
        <f t="shared" si="25"/>
        <v>26415747.289999995</v>
      </c>
      <c r="F124" s="224">
        <f t="shared" si="25"/>
        <v>27113230.895714287</v>
      </c>
      <c r="G124" s="224">
        <f t="shared" si="25"/>
        <v>30579300.580904726</v>
      </c>
      <c r="H124" s="224">
        <f t="shared" si="25"/>
        <v>30454058.241980743</v>
      </c>
      <c r="I124" s="224">
        <f t="shared" si="25"/>
        <v>30818376.177518398</v>
      </c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</row>
    <row r="125" spans="1:177" s="8" customFormat="1" ht="15">
      <c r="A125" s="235" t="s">
        <v>46</v>
      </c>
      <c r="B125" s="236" t="s">
        <v>356</v>
      </c>
      <c r="C125" s="81">
        <f>22553876.34+122253.18+1790028.38</f>
        <v>24466157.9</v>
      </c>
      <c r="D125" s="81">
        <f>23419884.12+259114.39+3919873.02</f>
        <v>27598871.53</v>
      </c>
      <c r="E125" s="81">
        <f>23976930.33+278758.9+1991190.99</f>
        <v>26246880.219999995</v>
      </c>
      <c r="F125" s="81">
        <f>'[1]Paga Ent1'!$F$203+515573.93+2099252.96</f>
        <v>26842316.83857143</v>
      </c>
      <c r="G125" s="213">
        <f>(((D125*(1+Parâmetros!B11)*(1+Parâmetros!C11)*(1+Parâmetros!D11))+(E125*(1+Parâmetros!C11)*(1+Parâmetros!D11)+(F125*(1+Parâmetros!D11))))/3)*(1+Parâmetros!E11)*(1+Parâmetros!E14)</f>
        <v>30358575.482883558</v>
      </c>
      <c r="H125" s="237">
        <f>G125*(1+Parâmetros!F11)*(1+Parâmetros!F14)</f>
        <v>30234237.15834219</v>
      </c>
      <c r="I125" s="237">
        <f>H125*(1+Parâmetros!G11)*(1+Parâmetros!G14)</f>
        <v>30595925.402863216</v>
      </c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</row>
    <row r="126" spans="1:177" s="8" customFormat="1" ht="15">
      <c r="A126" s="235" t="s">
        <v>46</v>
      </c>
      <c r="B126" s="236" t="s">
        <v>357</v>
      </c>
      <c r="C126" s="81">
        <v>157201.61</v>
      </c>
      <c r="D126" s="81">
        <v>140016.31</v>
      </c>
      <c r="E126" s="81">
        <v>156672.07</v>
      </c>
      <c r="F126" s="81">
        <f>'[1]Paga Ent2'!$E$46</f>
        <v>105334.86857142858</v>
      </c>
      <c r="G126" s="213">
        <f>(((D126*(1+Parâmetros!B11)*(1+Parâmetros!C11)*(1+Parâmetros!D11))+(E126*(1+Parâmetros!C11)*(1+Parâmetros!D11)+(F126*(1+Parâmetros!D11))))/3)*(1+Parâmetros!E11)*(1+Parâmetros!E14)</f>
        <v>151718.05611206449</v>
      </c>
      <c r="H126" s="237">
        <f>G126*(1+Parâmetros!F11)*(1+Parâmetros!F14)</f>
        <v>151096.67093177882</v>
      </c>
      <c r="I126" s="237">
        <f>H126*(1+Parâmetros!G11)*(1+Parâmetros!G14)</f>
        <v>152904.22074281174</v>
      </c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</row>
    <row r="127" spans="1:177" s="8" customFormat="1" ht="15">
      <c r="A127" s="235" t="s">
        <v>46</v>
      </c>
      <c r="B127" s="236" t="s">
        <v>358</v>
      </c>
      <c r="C127" s="81">
        <v>10860</v>
      </c>
      <c r="D127" s="81">
        <v>12725</v>
      </c>
      <c r="E127" s="81">
        <v>12195</v>
      </c>
      <c r="F127" s="81">
        <f>'[1]Paga Ent3'!$E$49</f>
        <v>165579.1885714286</v>
      </c>
      <c r="G127" s="213">
        <f>(((D127*(1+Parâmetros!B11)*(1+Parâmetros!C11)*(1+Parâmetros!D11))+(E127*(1+Parâmetros!C11)*(1+Parâmetros!D11)+(F127*(1+Parâmetros!D11))))/3)*(1+Parâmetros!E11)*(1+Parâmetros!E14)</f>
        <v>69007.04190910244</v>
      </c>
      <c r="H127" s="237">
        <f>G127*(1+Parâmetros!F11)*(1+Parâmetros!F14)</f>
        <v>68724.4127067747</v>
      </c>
      <c r="I127" s="237">
        <f>H127*(1+Parâmetros!G11)*(1+Parâmetros!G14)</f>
        <v>69546.55391237127</v>
      </c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</row>
    <row r="128" spans="1:177" s="8" customFormat="1" ht="15.75">
      <c r="A128" s="235" t="s">
        <v>608</v>
      </c>
      <c r="B128" s="236" t="s">
        <v>616</v>
      </c>
      <c r="C128" s="81"/>
      <c r="D128" s="81"/>
      <c r="E128" s="81"/>
      <c r="F128" s="81"/>
      <c r="G128" s="213">
        <f>((D128+E128+F128)/3)*(1+Parâmetros!E11)</f>
        <v>0</v>
      </c>
      <c r="H128" s="213">
        <f>((E128+F128+G128)/3)*(1+Parâmetros!F11)</f>
        <v>0</v>
      </c>
      <c r="I128" s="213">
        <f>((F128+G128+H128)/3)*(1+Parâmetros!G11)</f>
        <v>0</v>
      </c>
      <c r="J128" s="91"/>
      <c r="K128" s="413" t="s">
        <v>612</v>
      </c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</row>
    <row r="129" spans="1:177" s="82" customFormat="1" ht="15.75">
      <c r="A129" s="222" t="s">
        <v>48</v>
      </c>
      <c r="B129" s="223" t="s">
        <v>2</v>
      </c>
      <c r="C129" s="224">
        <f aca="true" t="shared" si="26" ref="C129:I129">C130+C135+C140</f>
        <v>4428459.45</v>
      </c>
      <c r="D129" s="224">
        <f t="shared" si="26"/>
        <v>4533562.829999999</v>
      </c>
      <c r="E129" s="224">
        <f t="shared" si="26"/>
        <v>2933228.69</v>
      </c>
      <c r="F129" s="224">
        <f t="shared" si="26"/>
        <v>3384155.4642857146</v>
      </c>
      <c r="G129" s="224">
        <f t="shared" si="26"/>
        <v>3768160.333011533</v>
      </c>
      <c r="H129" s="224">
        <f t="shared" si="26"/>
        <v>3302895.029935618</v>
      </c>
      <c r="I129" s="224">
        <f t="shared" si="26"/>
        <v>2859631.804037048</v>
      </c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</row>
    <row r="130" spans="1:177" s="82" customFormat="1" ht="15.75">
      <c r="A130" s="222" t="s">
        <v>49</v>
      </c>
      <c r="B130" s="223" t="s">
        <v>3</v>
      </c>
      <c r="C130" s="224">
        <f aca="true" t="shared" si="27" ref="C130:I130">C131+C132+C133+C134</f>
        <v>4336272.09</v>
      </c>
      <c r="D130" s="224">
        <f t="shared" si="27"/>
        <v>4463098.529999999</v>
      </c>
      <c r="E130" s="224">
        <f t="shared" si="27"/>
        <v>2567061.73</v>
      </c>
      <c r="F130" s="224">
        <f t="shared" si="27"/>
        <v>2974270.3842857145</v>
      </c>
      <c r="G130" s="224">
        <f t="shared" si="27"/>
        <v>3358275.253011533</v>
      </c>
      <c r="H130" s="224">
        <f t="shared" si="27"/>
        <v>2927167.039935618</v>
      </c>
      <c r="I130" s="224">
        <f t="shared" si="27"/>
        <v>2859631.804037048</v>
      </c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1"/>
      <c r="CH130" s="91"/>
      <c r="CI130" s="91"/>
      <c r="CJ130" s="91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1"/>
      <c r="DE130" s="91"/>
      <c r="DF130" s="91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</row>
    <row r="131" spans="1:177" s="8" customFormat="1" ht="15">
      <c r="A131" s="235" t="s">
        <v>49</v>
      </c>
      <c r="B131" s="236" t="s">
        <v>359</v>
      </c>
      <c r="C131" s="81">
        <f>3080499.12+336492.02+915775.95</f>
        <v>4332767.09</v>
      </c>
      <c r="D131" s="81">
        <f>3118986.51+848811.44+481876.57</f>
        <v>4449674.52</v>
      </c>
      <c r="E131" s="81">
        <f>1112064.79+286057.65+1166329.29</f>
        <v>2564451.73</v>
      </c>
      <c r="F131" s="81">
        <f>'[1]Paga Ent1'!$F$544+270868.41+146739.18</f>
        <v>2965390.3842857145</v>
      </c>
      <c r="G131" s="213">
        <f>(((D131*(1+Parâmetros!B11)*(1+Parâmetros!C11)*(1+Parâmetros!D11))+(E131*(1+Parâmetros!C11)*(1+Parâmetros!D11)+(F131*(1+Parâmetros!D11))))/3)*(1+Parâmetros!E11)*(1+Parâmetros!E20)</f>
        <v>3349882.536082981</v>
      </c>
      <c r="H131" s="237">
        <f>G131*(1+Parâmetros!F11)*(1+Parâmetros!F20)</f>
        <v>2919851.712120623</v>
      </c>
      <c r="I131" s="237">
        <f>H131*(1+Parâmetros!G11)*(1+Parâmetros!G20)</f>
        <v>2852485.2545606033</v>
      </c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1"/>
      <c r="DE131" s="91"/>
      <c r="DF131" s="91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</row>
    <row r="132" spans="1:177" s="8" customFormat="1" ht="15">
      <c r="A132" s="235" t="s">
        <v>49</v>
      </c>
      <c r="B132" s="236" t="s">
        <v>360</v>
      </c>
      <c r="C132" s="81">
        <v>3505</v>
      </c>
      <c r="D132" s="81">
        <v>13424.01</v>
      </c>
      <c r="E132" s="81">
        <v>2610</v>
      </c>
      <c r="F132" s="81">
        <f>'[1]Paga Ent2'!$E$148</f>
        <v>8880</v>
      </c>
      <c r="G132" s="213">
        <f>(((D132*(1+Parâmetros!B11)*(1+Parâmetros!C11)*(1+Parâmetros!D11))+(E132*(1+Parâmetros!C11)*(1+Parâmetros!D11)+(F132*(1+Parâmetros!D11))))/3)*(1+Parâmetros!E11)*(1+Parâmetros!E20)</f>
        <v>8392.716928551747</v>
      </c>
      <c r="H132" s="237">
        <f>G132*(1+Parâmetros!F11)*(1+Parâmetros!F20)</f>
        <v>7315.327814995516</v>
      </c>
      <c r="I132" s="237">
        <f>H132*(1+Parâmetros!G11)*(1+Parâmetros!G20)</f>
        <v>7146.549476444682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91"/>
      <c r="CG132" s="91"/>
      <c r="CH132" s="91"/>
      <c r="CI132" s="91"/>
      <c r="CJ132" s="91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1"/>
      <c r="DE132" s="91"/>
      <c r="DF132" s="91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</row>
    <row r="133" spans="1:177" s="8" customFormat="1" ht="15">
      <c r="A133" s="235" t="s">
        <v>49</v>
      </c>
      <c r="B133" s="236" t="s">
        <v>191</v>
      </c>
      <c r="C133" s="81">
        <v>0</v>
      </c>
      <c r="D133" s="81">
        <v>0</v>
      </c>
      <c r="E133" s="81">
        <v>0</v>
      </c>
      <c r="F133" s="81">
        <v>0</v>
      </c>
      <c r="G133" s="213">
        <f>(((D133*(1+Parâmetros!B11)*(1+Parâmetros!C11)*(1+Parâmetros!D11))+(E133*(1+Parâmetros!C11)*(1+Parâmetros!D11)+(F133*(1+Parâmetros!D11))))/3)*(1+Parâmetros!E11)*(1+Parâmetros!E20)</f>
        <v>0</v>
      </c>
      <c r="H133" s="237">
        <f>G133*(1+Parâmetros!F11)*(1+Parâmetros!F20)</f>
        <v>0</v>
      </c>
      <c r="I133" s="237">
        <f>H133*(1+Parâmetros!G11)*(1+Parâmetros!G20)</f>
        <v>0</v>
      </c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91"/>
      <c r="CG133" s="91"/>
      <c r="CH133" s="91"/>
      <c r="CI133" s="91"/>
      <c r="CJ133" s="91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1"/>
      <c r="DE133" s="91"/>
      <c r="DF133" s="91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</row>
    <row r="134" spans="1:177" s="8" customFormat="1" ht="15.75">
      <c r="A134" s="235" t="s">
        <v>609</v>
      </c>
      <c r="B134" s="236" t="s">
        <v>617</v>
      </c>
      <c r="C134" s="81"/>
      <c r="D134" s="81"/>
      <c r="E134" s="81"/>
      <c r="F134" s="81"/>
      <c r="G134" s="213">
        <f>((D134+E134+F134)/3)*(1+Parâmetros!E11)</f>
        <v>0</v>
      </c>
      <c r="H134" s="213">
        <f>((E134+F134+G134)/3)*(1+Parâmetros!F11)</f>
        <v>0</v>
      </c>
      <c r="I134" s="213">
        <f>((F134+G134+H134)/3)*(1+Parâmetros!G11)</f>
        <v>0</v>
      </c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91"/>
      <c r="CG134" s="91"/>
      <c r="CH134" s="91"/>
      <c r="CI134" s="91"/>
      <c r="CJ134" s="91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1"/>
      <c r="DE134" s="91"/>
      <c r="DF134" s="91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</row>
    <row r="135" spans="1:177" s="82" customFormat="1" ht="15.75">
      <c r="A135" s="222" t="s">
        <v>50</v>
      </c>
      <c r="B135" s="223" t="s">
        <v>4</v>
      </c>
      <c r="C135" s="224">
        <f aca="true" t="shared" si="28" ref="C135:I135">C136+C137+C138+C139</f>
        <v>0</v>
      </c>
      <c r="D135" s="224">
        <f t="shared" si="28"/>
        <v>0</v>
      </c>
      <c r="E135" s="224">
        <f t="shared" si="28"/>
        <v>0</v>
      </c>
      <c r="F135" s="224">
        <f t="shared" si="28"/>
        <v>0</v>
      </c>
      <c r="G135" s="224">
        <f t="shared" si="28"/>
        <v>0</v>
      </c>
      <c r="H135" s="224">
        <f t="shared" si="28"/>
        <v>0</v>
      </c>
      <c r="I135" s="224">
        <f t="shared" si="28"/>
        <v>0</v>
      </c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</row>
    <row r="136" spans="1:177" ht="15">
      <c r="A136" s="235" t="s">
        <v>51</v>
      </c>
      <c r="B136" s="238" t="s">
        <v>52</v>
      </c>
      <c r="C136" s="81">
        <v>0</v>
      </c>
      <c r="D136" s="81">
        <v>0</v>
      </c>
      <c r="E136" s="81">
        <v>0</v>
      </c>
      <c r="F136" s="81">
        <v>0</v>
      </c>
      <c r="G136" s="213">
        <f>(((D136*(1+Parâmetros!B11)*(1+Parâmetros!C11)*(1+Parâmetros!D11))+(E136*(1+Parâmetros!C11)*(1+Parâmetros!D11)+(F136*(1+Parâmetros!D11))))/3)*(1+Parâmetros!E11)</f>
        <v>0</v>
      </c>
      <c r="H136" s="237">
        <f>G136*(1+Parâmetros!F11)</f>
        <v>0</v>
      </c>
      <c r="I136" s="237">
        <f>H136*(1+Parâmetros!G11)</f>
        <v>0</v>
      </c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  <c r="FO136" s="77"/>
      <c r="FP136" s="77"/>
      <c r="FQ136" s="77"/>
      <c r="FR136" s="77"/>
      <c r="FS136" s="77"/>
      <c r="FT136" s="77"/>
      <c r="FU136" s="77"/>
    </row>
    <row r="137" spans="1:177" ht="15">
      <c r="A137" s="235" t="s">
        <v>361</v>
      </c>
      <c r="B137" s="238" t="s">
        <v>362</v>
      </c>
      <c r="C137" s="81">
        <v>0</v>
      </c>
      <c r="D137" s="81">
        <v>0</v>
      </c>
      <c r="E137" s="81">
        <v>0</v>
      </c>
      <c r="F137" s="81">
        <v>0</v>
      </c>
      <c r="G137" s="213">
        <f>(((D137*(1+Parâmetros!B11)*(1+Parâmetros!C11)*(1+Parâmetros!D11))+(E137*(1+Parâmetros!C11)*(1+Parâmetros!D11)+(F137*(1+Parâmetros!D11))))/3)*(1+Parâmetros!E11)</f>
        <v>0</v>
      </c>
      <c r="H137" s="237">
        <f>G137*(1+Parâmetros!F11)</f>
        <v>0</v>
      </c>
      <c r="I137" s="237">
        <f>H137*(1+Parâmetros!G11)</f>
        <v>0</v>
      </c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  <c r="FO137" s="77"/>
      <c r="FP137" s="77"/>
      <c r="FQ137" s="77"/>
      <c r="FR137" s="77"/>
      <c r="FS137" s="77"/>
      <c r="FT137" s="77"/>
      <c r="FU137" s="77"/>
    </row>
    <row r="138" spans="1:177" ht="15">
      <c r="A138" s="235" t="s">
        <v>361</v>
      </c>
      <c r="B138" s="238" t="s">
        <v>363</v>
      </c>
      <c r="C138" s="81">
        <v>0</v>
      </c>
      <c r="D138" s="81">
        <v>0</v>
      </c>
      <c r="E138" s="81">
        <v>0</v>
      </c>
      <c r="F138" s="81">
        <v>0</v>
      </c>
      <c r="G138" s="213">
        <f>(((D138*(1+Parâmetros!B11)*(1+Parâmetros!C11)*(1+Parâmetros!D11))+(E138*(1+Parâmetros!C11)*(1+Parâmetros!D11)+(F138*(1+Parâmetros!D11))))/3)*(1+Parâmetros!E11)</f>
        <v>0</v>
      </c>
      <c r="H138" s="237">
        <f>G138*(1+Parâmetros!F11)</f>
        <v>0</v>
      </c>
      <c r="I138" s="237">
        <f>H138*(1+Parâmetros!G11)</f>
        <v>0</v>
      </c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</row>
    <row r="139" spans="1:177" ht="15.75">
      <c r="A139" s="235" t="s">
        <v>610</v>
      </c>
      <c r="B139" s="238" t="s">
        <v>618</v>
      </c>
      <c r="C139" s="81"/>
      <c r="D139" s="81"/>
      <c r="E139" s="81"/>
      <c r="F139" s="81"/>
      <c r="G139" s="213">
        <f>((D139+E139+F139)/3)*(1+Parâmetros!E11)</f>
        <v>0</v>
      </c>
      <c r="H139" s="213">
        <f>((E139+F139+G139)/3)*(1+Parâmetros!F11)</f>
        <v>0</v>
      </c>
      <c r="I139" s="213">
        <f>((F139+G139+H139)/3)*(1+Parâmetros!G11)</f>
        <v>0</v>
      </c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</row>
    <row r="140" spans="1:177" s="82" customFormat="1" ht="15.75">
      <c r="A140" s="222" t="s">
        <v>53</v>
      </c>
      <c r="B140" s="223" t="s">
        <v>54</v>
      </c>
      <c r="C140" s="224">
        <f aca="true" t="shared" si="29" ref="C140:I140">C141+C142+C143+C144</f>
        <v>92187.36</v>
      </c>
      <c r="D140" s="224">
        <f t="shared" si="29"/>
        <v>70464.3</v>
      </c>
      <c r="E140" s="224">
        <f t="shared" si="29"/>
        <v>366166.96</v>
      </c>
      <c r="F140" s="224">
        <f t="shared" si="29"/>
        <v>409885.07999999996</v>
      </c>
      <c r="G140" s="224">
        <f t="shared" si="29"/>
        <v>409885.07999999996</v>
      </c>
      <c r="H140" s="224">
        <f t="shared" si="29"/>
        <v>375727.99</v>
      </c>
      <c r="I140" s="224">
        <f t="shared" si="29"/>
        <v>0</v>
      </c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</row>
    <row r="141" spans="1:177" s="8" customFormat="1" ht="15">
      <c r="A141" s="235" t="s">
        <v>53</v>
      </c>
      <c r="B141" s="238" t="s">
        <v>364</v>
      </c>
      <c r="C141" s="81">
        <v>92187.36</v>
      </c>
      <c r="D141" s="81">
        <v>70464.3</v>
      </c>
      <c r="E141" s="81">
        <v>366166.96</v>
      </c>
      <c r="F141" s="81">
        <f>34157.09*12</f>
        <v>409885.07999999996</v>
      </c>
      <c r="G141" s="213">
        <f>34157.09*12</f>
        <v>409885.07999999996</v>
      </c>
      <c r="H141" s="237">
        <f>34157.09*11</f>
        <v>375727.99</v>
      </c>
      <c r="I141" s="237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</row>
    <row r="142" spans="1:177" s="8" customFormat="1" ht="15">
      <c r="A142" s="235" t="s">
        <v>53</v>
      </c>
      <c r="B142" s="238" t="s">
        <v>365</v>
      </c>
      <c r="C142" s="81">
        <v>0</v>
      </c>
      <c r="D142" s="81">
        <v>0</v>
      </c>
      <c r="E142" s="81">
        <v>0</v>
      </c>
      <c r="F142" s="81">
        <v>0</v>
      </c>
      <c r="G142" s="213">
        <f>(((D142*(1+Parâmetros!B11)*(1+Parâmetros!C11)*(1+Parâmetros!D11))+(E142*(1+Parâmetros!C11)*(1+Parâmetros!D11)+(F142*(1+Parâmetros!D11))))/3)*(1+Parâmetros!E11)</f>
        <v>0</v>
      </c>
      <c r="H142" s="237">
        <f>G142*(1+Parâmetros!F11)</f>
        <v>0</v>
      </c>
      <c r="I142" s="237">
        <f>H142*(1+Parâmetros!G11)</f>
        <v>0</v>
      </c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</row>
    <row r="143" spans="1:177" s="8" customFormat="1" ht="15">
      <c r="A143" s="235" t="s">
        <v>53</v>
      </c>
      <c r="B143" s="238" t="s">
        <v>366</v>
      </c>
      <c r="C143" s="81">
        <v>0</v>
      </c>
      <c r="D143" s="81">
        <v>0</v>
      </c>
      <c r="E143" s="81">
        <v>0</v>
      </c>
      <c r="F143" s="81">
        <v>0</v>
      </c>
      <c r="G143" s="213">
        <f>(((D143*(1+Parâmetros!B11)*(1+Parâmetros!C11)*(1+Parâmetros!D11))+(E143*(1+Parâmetros!C11)*(1+Parâmetros!D11)+(F143*(1+Parâmetros!D11))))/3)*(1+Parâmetros!E11)</f>
        <v>0</v>
      </c>
      <c r="H143" s="237">
        <f>G143*(1+Parâmetros!F11)</f>
        <v>0</v>
      </c>
      <c r="I143" s="237">
        <f>H143*(1+Parâmetros!G11)</f>
        <v>0</v>
      </c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</row>
    <row r="144" spans="1:177" s="8" customFormat="1" ht="15.75">
      <c r="A144" s="235" t="s">
        <v>611</v>
      </c>
      <c r="B144" s="238" t="s">
        <v>619</v>
      </c>
      <c r="C144" s="81"/>
      <c r="D144" s="81"/>
      <c r="E144" s="81"/>
      <c r="F144" s="81"/>
      <c r="G144" s="213">
        <f>((D144+E144+F144)/3)*(1+Parâmetros!E11)</f>
        <v>0</v>
      </c>
      <c r="H144" s="213">
        <f>((E144+F144+G144)/3)*(1+Parâmetros!F11)</f>
        <v>0</v>
      </c>
      <c r="I144" s="213">
        <f>((F144+G144+H144)/3)*(1+Parâmetros!G11)</f>
        <v>0</v>
      </c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</row>
    <row r="145" spans="1:177" s="8" customFormat="1" ht="15">
      <c r="A145" s="235" t="s">
        <v>181</v>
      </c>
      <c r="B145" s="238" t="s">
        <v>621</v>
      </c>
      <c r="C145" s="240"/>
      <c r="D145" s="240"/>
      <c r="E145" s="240"/>
      <c r="F145" s="240"/>
      <c r="G145" s="237">
        <f>((G105-G17-G28-G72-G95-G97)-(G115+G116+G118+G120+G121+G125+G126+G131+G132+G136+G137+G138+G141+G142))</f>
        <v>3074570.0577971637</v>
      </c>
      <c r="H145" s="237">
        <f>((H105-H17-H28-H72-H95-H97)-(H115+H116+H118+H120+H121+H125+H126+H131+H132+H136+H137+H138+H141+H142))</f>
        <v>4152332.3698879033</v>
      </c>
      <c r="I145" s="237">
        <f>((I105-I17-I28-I72-I95-I97)-(I115+I116+I118+I120+I121+I125+I126+I131+I132+I136+I137+I138+I141+I142))</f>
        <v>5706520.273275465</v>
      </c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</row>
    <row r="146" spans="1:177" ht="15">
      <c r="A146" s="235" t="s">
        <v>182</v>
      </c>
      <c r="B146" s="236" t="s">
        <v>621</v>
      </c>
      <c r="C146" s="240"/>
      <c r="D146" s="240"/>
      <c r="E146" s="240"/>
      <c r="F146" s="240"/>
      <c r="G146" s="237">
        <f>G17+G28+G72+G95+G97-G117-G122-G127-G133-G143</f>
        <v>13074749.071625905</v>
      </c>
      <c r="H146" s="237">
        <f>H17+H28+H72+H95+H97-H117-H122-H127-H133-H143</f>
        <v>13959409.191279517</v>
      </c>
      <c r="I146" s="237">
        <f>I17+I28+I72+I95+I97-I117-I122-I127-I133-I143</f>
        <v>14807197.411093434</v>
      </c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  <c r="FO146" s="77"/>
      <c r="FP146" s="77"/>
      <c r="FQ146" s="77"/>
      <c r="FR146" s="77"/>
      <c r="FS146" s="77"/>
      <c r="FT146" s="77"/>
      <c r="FU146" s="77"/>
    </row>
    <row r="147" spans="1:177" s="9" customFormat="1" ht="29.25" customHeight="1" thickBot="1">
      <c r="A147" s="239"/>
      <c r="B147" s="98" t="s">
        <v>620</v>
      </c>
      <c r="C147" s="99">
        <f>C113+C129</f>
        <v>58815177.14</v>
      </c>
      <c r="D147" s="99">
        <f>D113+D129</f>
        <v>66719937.870000005</v>
      </c>
      <c r="E147" s="99">
        <f>E113+E129</f>
        <v>68000371.63</v>
      </c>
      <c r="F147" s="99">
        <f>F113+F129</f>
        <v>70049829.75066668</v>
      </c>
      <c r="G147" s="99">
        <f>G113+G129+G145+G146</f>
        <v>94005814.67401083</v>
      </c>
      <c r="H147" s="99">
        <f>H113+H129+H145+H146</f>
        <v>98250730.32601209</v>
      </c>
      <c r="I147" s="99">
        <f>I113+I129+I145+I146</f>
        <v>102840675.60321668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4"/>
      <c r="BZ147" s="94"/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4"/>
      <c r="CP147" s="94"/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4"/>
      <c r="DF147" s="94"/>
      <c r="DG147" s="94"/>
      <c r="DH147" s="94"/>
      <c r="DI147" s="94"/>
      <c r="DJ147" s="94"/>
      <c r="DK147" s="94"/>
      <c r="DL147" s="94"/>
      <c r="DM147" s="94"/>
      <c r="DN147" s="94"/>
      <c r="DO147" s="94"/>
      <c r="DP147" s="94"/>
      <c r="DQ147" s="94"/>
      <c r="DR147" s="94"/>
      <c r="DS147" s="94"/>
      <c r="DT147" s="94"/>
      <c r="DU147" s="94"/>
      <c r="DV147" s="94"/>
      <c r="DW147" s="94"/>
      <c r="DX147" s="94"/>
      <c r="DY147" s="94"/>
      <c r="DZ147" s="94"/>
      <c r="EA147" s="94"/>
      <c r="EB147" s="94"/>
      <c r="EC147" s="94"/>
      <c r="ED147" s="94"/>
      <c r="EE147" s="94"/>
      <c r="EF147" s="94"/>
      <c r="EG147" s="94"/>
      <c r="EH147" s="94"/>
      <c r="EI147" s="94"/>
      <c r="EJ147" s="94"/>
      <c r="EK147" s="94"/>
      <c r="EL147" s="94"/>
      <c r="EM147" s="94"/>
      <c r="EN147" s="94"/>
      <c r="EO147" s="94"/>
      <c r="EP147" s="94"/>
      <c r="EQ147" s="94"/>
      <c r="ER147" s="94"/>
      <c r="ES147" s="94"/>
      <c r="ET147" s="94"/>
      <c r="EU147" s="94"/>
      <c r="EV147" s="94"/>
      <c r="EW147" s="94"/>
      <c r="EX147" s="94"/>
      <c r="EY147" s="94"/>
      <c r="EZ147" s="94"/>
      <c r="FA147" s="94"/>
      <c r="FB147" s="94"/>
      <c r="FC147" s="94"/>
      <c r="FD147" s="94"/>
      <c r="FE147" s="94"/>
      <c r="FF147" s="94"/>
      <c r="FG147" s="94"/>
      <c r="FH147" s="94"/>
      <c r="FI147" s="94"/>
      <c r="FJ147" s="94"/>
      <c r="FK147" s="94"/>
      <c r="FL147" s="94"/>
      <c r="FM147" s="94"/>
      <c r="FN147" s="94"/>
      <c r="FO147" s="94"/>
      <c r="FP147" s="94"/>
      <c r="FQ147" s="94"/>
      <c r="FR147" s="94"/>
      <c r="FS147" s="94"/>
      <c r="FT147" s="94"/>
      <c r="FU147" s="94"/>
    </row>
    <row r="148" spans="1:177" s="1" customFormat="1" ht="17.25" customHeight="1" hidden="1">
      <c r="A148" s="20"/>
      <c r="B148" s="24" t="s">
        <v>34</v>
      </c>
      <c r="C148" s="84"/>
      <c r="D148" s="85"/>
      <c r="E148" s="85"/>
      <c r="F148" s="85"/>
      <c r="G148" s="85"/>
      <c r="H148" s="85"/>
      <c r="I148" s="85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89"/>
      <c r="FQ148" s="89"/>
      <c r="FR148" s="89"/>
      <c r="FS148" s="89"/>
      <c r="FT148" s="89"/>
      <c r="FU148" s="89"/>
    </row>
    <row r="149" spans="1:177" s="1" customFormat="1" ht="17.25" customHeight="1" hidden="1">
      <c r="A149" s="21"/>
      <c r="B149" s="22" t="s">
        <v>7</v>
      </c>
      <c r="C149" s="23" t="s">
        <v>9</v>
      </c>
      <c r="D149" s="23" t="e">
        <f>IF(#REF!&gt;0,"REALIZADO","PROJETADO")</f>
        <v>#REF!</v>
      </c>
      <c r="E149" s="23" t="e">
        <f>IF(#REF!&gt;0,"REALIZADO","PROJETADO")</f>
        <v>#REF!</v>
      </c>
      <c r="F149" s="23" t="e">
        <f>IF(#REF!&gt;0,"REALIZADO","PROJETADO")</f>
        <v>#REF!</v>
      </c>
      <c r="G149" s="23" t="s">
        <v>12</v>
      </c>
      <c r="H149" s="23"/>
      <c r="I149" s="23" t="s">
        <v>12</v>
      </c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  <c r="EG149" s="89"/>
      <c r="EH149" s="89"/>
      <c r="EI149" s="89"/>
      <c r="EJ149" s="89"/>
      <c r="EK149" s="89"/>
      <c r="EL149" s="89"/>
      <c r="EM149" s="89"/>
      <c r="EN149" s="89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89"/>
      <c r="FQ149" s="89"/>
      <c r="FR149" s="89"/>
      <c r="FS149" s="89"/>
      <c r="FT149" s="89"/>
      <c r="FU149" s="89"/>
    </row>
    <row r="150" spans="1:177" s="1" customFormat="1" ht="17.25" customHeight="1" hidden="1">
      <c r="A150" s="21"/>
      <c r="B150" s="86" t="s">
        <v>6</v>
      </c>
      <c r="C150" s="87">
        <v>1999</v>
      </c>
      <c r="D150" s="87">
        <v>2000</v>
      </c>
      <c r="E150" s="87">
        <v>2001</v>
      </c>
      <c r="F150" s="87">
        <v>2002</v>
      </c>
      <c r="G150" s="87">
        <v>2003</v>
      </c>
      <c r="H150" s="87"/>
      <c r="I150" s="87">
        <v>2004</v>
      </c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  <c r="EG150" s="89"/>
      <c r="EH150" s="89"/>
      <c r="EI150" s="89"/>
      <c r="EJ150" s="89"/>
      <c r="EK150" s="89"/>
      <c r="EL150" s="89"/>
      <c r="EM150" s="89"/>
      <c r="EN150" s="89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89"/>
    </row>
    <row r="151" spans="1:177" s="1" customFormat="1" ht="17.25" customHeight="1" hidden="1">
      <c r="A151" s="21"/>
      <c r="B151" s="24"/>
      <c r="C151" s="25"/>
      <c r="D151" s="25"/>
      <c r="E151" s="25"/>
      <c r="F151" s="25"/>
      <c r="G151" s="25"/>
      <c r="H151" s="25"/>
      <c r="I151" s="25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</row>
    <row r="152" spans="1:177" s="1" customFormat="1" ht="16.5" hidden="1" thickBot="1">
      <c r="A152" s="21"/>
      <c r="B152" s="24" t="s">
        <v>14</v>
      </c>
      <c r="C152" s="26" t="e">
        <f>C8-#REF!-C14+C156-#REF!</f>
        <v>#REF!</v>
      </c>
      <c r="D152" s="26" t="e">
        <f>D8-#REF!-D14+D156-#REF!</f>
        <v>#REF!</v>
      </c>
      <c r="E152" s="26" t="e">
        <f>E8-#REF!-E14+E156-#REF!</f>
        <v>#REF!</v>
      </c>
      <c r="F152" s="26" t="e">
        <f>F8-#REF!-F14+F156-#REF!</f>
        <v>#REF!</v>
      </c>
      <c r="G152" s="26" t="e">
        <f>G8-#REF!-G14+G156-#REF!</f>
        <v>#REF!</v>
      </c>
      <c r="H152" s="26"/>
      <c r="I152" s="26" t="e">
        <f>I8-#REF!-I14+I156-#REF!</f>
        <v>#REF!</v>
      </c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  <c r="EG152" s="89"/>
      <c r="EH152" s="89"/>
      <c r="EI152" s="89"/>
      <c r="EJ152" s="89"/>
      <c r="EK152" s="89"/>
      <c r="EL152" s="89"/>
      <c r="EM152" s="89"/>
      <c r="EN152" s="89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89"/>
      <c r="FQ152" s="89"/>
      <c r="FR152" s="89"/>
      <c r="FS152" s="89"/>
      <c r="FT152" s="89"/>
      <c r="FU152" s="89"/>
    </row>
    <row r="153" spans="1:177" s="1" customFormat="1" ht="16.5" hidden="1" thickBot="1">
      <c r="A153" s="21"/>
      <c r="B153" s="24" t="s">
        <v>15</v>
      </c>
      <c r="C153" s="26">
        <f>C9</f>
        <v>11119242.91</v>
      </c>
      <c r="D153" s="26">
        <f>D9</f>
        <v>13579221.11</v>
      </c>
      <c r="E153" s="26">
        <f>E9</f>
        <v>15186813.929999998</v>
      </c>
      <c r="F153" s="26">
        <f>F9</f>
        <v>14295700</v>
      </c>
      <c r="G153" s="26">
        <f>G9</f>
        <v>16480080.483269615</v>
      </c>
      <c r="H153" s="26"/>
      <c r="I153" s="26">
        <f>I9</f>
        <v>17540738.75231645</v>
      </c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  <c r="EG153" s="89"/>
      <c r="EH153" s="89"/>
      <c r="EI153" s="89"/>
      <c r="EJ153" s="89"/>
      <c r="EK153" s="89"/>
      <c r="EL153" s="89"/>
      <c r="EM153" s="89"/>
      <c r="EN153" s="89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89"/>
      <c r="FQ153" s="89"/>
      <c r="FR153" s="89"/>
      <c r="FS153" s="89"/>
      <c r="FT153" s="89"/>
      <c r="FU153" s="89"/>
    </row>
    <row r="154" spans="1:177" s="1" customFormat="1" ht="16.5" hidden="1" thickBot="1">
      <c r="A154" s="21"/>
      <c r="B154" s="24" t="s">
        <v>16</v>
      </c>
      <c r="C154" s="26" t="e">
        <f>C19+C20+C21+#REF!+#REF!+#REF!+#REF!</f>
        <v>#REF!</v>
      </c>
      <c r="D154" s="26" t="e">
        <f>D19+D20+D21+#REF!+#REF!+#REF!+#REF!</f>
        <v>#REF!</v>
      </c>
      <c r="E154" s="26" t="e">
        <f>E19+E20+E21+#REF!+#REF!+#REF!+#REF!</f>
        <v>#REF!</v>
      </c>
      <c r="F154" s="26" t="e">
        <f>F19+F20+F21+#REF!+#REF!+#REF!+#REF!</f>
        <v>#REF!</v>
      </c>
      <c r="G154" s="26" t="e">
        <f>G19+G20+G21+#REF!+#REF!+#REF!+#REF!</f>
        <v>#REF!</v>
      </c>
      <c r="H154" s="26"/>
      <c r="I154" s="26" t="e">
        <f>I19+I20+I21+#REF!+#REF!+#REF!+#REF!</f>
        <v>#REF!</v>
      </c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89"/>
      <c r="FQ154" s="89"/>
      <c r="FR154" s="89"/>
      <c r="FS154" s="89"/>
      <c r="FT154" s="89"/>
      <c r="FU154" s="89"/>
    </row>
    <row r="155" spans="1:177" s="1" customFormat="1" ht="16.5" hidden="1" thickBot="1">
      <c r="A155" s="21"/>
      <c r="B155" s="24" t="s">
        <v>17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/>
      <c r="I155" s="26" t="e">
        <f>#REF!</f>
        <v>#REF!</v>
      </c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  <c r="EG155" s="89"/>
      <c r="EH155" s="89"/>
      <c r="EI155" s="89"/>
      <c r="EJ155" s="89"/>
      <c r="EK155" s="89"/>
      <c r="EL155" s="89"/>
      <c r="EM155" s="89"/>
      <c r="EN155" s="89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89"/>
      <c r="FQ155" s="89"/>
      <c r="FR155" s="89"/>
      <c r="FS155" s="89"/>
      <c r="FT155" s="89"/>
      <c r="FU155" s="89"/>
    </row>
    <row r="156" spans="1:177" s="1" customFormat="1" ht="16.5" hidden="1" thickBot="1">
      <c r="A156" s="21"/>
      <c r="B156" s="24" t="s">
        <v>18</v>
      </c>
      <c r="C156" s="26" t="e">
        <f>#REF!-#REF!</f>
        <v>#REF!</v>
      </c>
      <c r="D156" s="26" t="e">
        <f>#REF!-#REF!</f>
        <v>#REF!</v>
      </c>
      <c r="E156" s="26" t="e">
        <f>#REF!-#REF!</f>
        <v>#REF!</v>
      </c>
      <c r="F156" s="26" t="e">
        <f>#REF!-#REF!</f>
        <v>#REF!</v>
      </c>
      <c r="G156" s="26" t="e">
        <f>#REF!-#REF!</f>
        <v>#REF!</v>
      </c>
      <c r="H156" s="26"/>
      <c r="I156" s="26" t="e">
        <f>#REF!-#REF!</f>
        <v>#REF!</v>
      </c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  <c r="EG156" s="89"/>
      <c r="EH156" s="89"/>
      <c r="EI156" s="89"/>
      <c r="EJ156" s="89"/>
      <c r="EK156" s="89"/>
      <c r="EL156" s="89"/>
      <c r="EM156" s="89"/>
      <c r="EN156" s="89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89"/>
      <c r="FQ156" s="89"/>
      <c r="FR156" s="89"/>
      <c r="FS156" s="89"/>
      <c r="FT156" s="89"/>
      <c r="FU156" s="89"/>
    </row>
    <row r="157" spans="1:177" s="1" customFormat="1" ht="16.5" hidden="1" thickBot="1">
      <c r="A157" s="21"/>
      <c r="B157" s="24" t="s">
        <v>19</v>
      </c>
      <c r="C157" s="26" t="e">
        <f>#REF!</f>
        <v>#REF!</v>
      </c>
      <c r="D157" s="26" t="e">
        <f>#REF!</f>
        <v>#REF!</v>
      </c>
      <c r="E157" s="26" t="e">
        <f>#REF!</f>
        <v>#REF!</v>
      </c>
      <c r="F157" s="26" t="e">
        <f>#REF!</f>
        <v>#REF!</v>
      </c>
      <c r="G157" s="26" t="e">
        <f>#REF!</f>
        <v>#REF!</v>
      </c>
      <c r="H157" s="26"/>
      <c r="I157" s="26" t="e">
        <f>#REF!</f>
        <v>#REF!</v>
      </c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  <c r="EG157" s="89"/>
      <c r="EH157" s="89"/>
      <c r="EI157" s="89"/>
      <c r="EJ157" s="89"/>
      <c r="EK157" s="89"/>
      <c r="EL157" s="89"/>
      <c r="EM157" s="89"/>
      <c r="EN157" s="89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</row>
    <row r="158" spans="1:177" s="1" customFormat="1" ht="16.5" hidden="1" thickBot="1">
      <c r="A158" s="21"/>
      <c r="B158" s="24" t="s">
        <v>20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/>
      <c r="I158" s="26" t="e">
        <f>#REF!</f>
        <v>#REF!</v>
      </c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  <c r="EG158" s="89"/>
      <c r="EH158" s="89"/>
      <c r="EI158" s="89"/>
      <c r="EJ158" s="89"/>
      <c r="EK158" s="89"/>
      <c r="EL158" s="89"/>
      <c r="EM158" s="89"/>
      <c r="EN158" s="89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</row>
    <row r="159" spans="1:177" s="1" customFormat="1" ht="16.5" hidden="1" thickBot="1">
      <c r="A159" s="21"/>
      <c r="B159" s="24" t="s">
        <v>21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/>
      <c r="I159" s="26" t="e">
        <f>#REF!</f>
        <v>#REF!</v>
      </c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</row>
    <row r="160" spans="1:177" s="1" customFormat="1" ht="16.5" hidden="1" thickBot="1">
      <c r="A160" s="21"/>
      <c r="B160" s="24" t="s">
        <v>22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/>
      <c r="I160" s="26" t="e">
        <f>#REF!</f>
        <v>#REF!</v>
      </c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</row>
    <row r="161" spans="1:177" s="1" customFormat="1" ht="16.5" hidden="1" thickBot="1">
      <c r="A161" s="21"/>
      <c r="B161" s="24" t="s">
        <v>23</v>
      </c>
      <c r="C161" s="26" t="e">
        <f>#REF!+#REF!+C136+C137+C140+#REF!+C146+C147+C119+#REF!</f>
        <v>#REF!</v>
      </c>
      <c r="D161" s="26" t="e">
        <f>#REF!+#REF!+D136+D137+D140+#REF!+D146+D147+D119+#REF!</f>
        <v>#REF!</v>
      </c>
      <c r="E161" s="26" t="e">
        <f>#REF!+#REF!+E136+E137+E140+#REF!+E146+E147+E119+#REF!</f>
        <v>#REF!</v>
      </c>
      <c r="F161" s="26" t="e">
        <f>#REF!+#REF!+F136+F137+F140+#REF!+F146+F147+F119+#REF!</f>
        <v>#REF!</v>
      </c>
      <c r="G161" s="26" t="e">
        <f>#REF!+#REF!+G136+G137+G140+#REF!+G146+G147+G119+#REF!</f>
        <v>#REF!</v>
      </c>
      <c r="H161" s="26"/>
      <c r="I161" s="26" t="e">
        <f>#REF!+#REF!+I136+I137+I140+#REF!+I146+I147+I119+#REF!</f>
        <v>#REF!</v>
      </c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  <c r="EG161" s="89"/>
      <c r="EH161" s="89"/>
      <c r="EI161" s="89"/>
      <c r="EJ161" s="89"/>
      <c r="EK161" s="89"/>
      <c r="EL161" s="89"/>
      <c r="EM161" s="89"/>
      <c r="EN161" s="89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89"/>
      <c r="FQ161" s="89"/>
      <c r="FR161" s="89"/>
      <c r="FS161" s="89"/>
      <c r="FT161" s="89"/>
      <c r="FU161" s="89"/>
    </row>
    <row r="162" spans="1:177" s="1" customFormat="1" ht="16.5" hidden="1" thickBot="1">
      <c r="A162" s="21"/>
      <c r="B162" s="24" t="s">
        <v>24</v>
      </c>
      <c r="C162" s="26" t="e">
        <f>#REF!+#REF!</f>
        <v>#REF!</v>
      </c>
      <c r="D162" s="26" t="e">
        <f>#REF!+#REF!</f>
        <v>#REF!</v>
      </c>
      <c r="E162" s="26" t="e">
        <f>#REF!+#REF!</f>
        <v>#REF!</v>
      </c>
      <c r="F162" s="26" t="e">
        <f>#REF!+#REF!</f>
        <v>#REF!</v>
      </c>
      <c r="G162" s="26" t="e">
        <f>#REF!+#REF!</f>
        <v>#REF!</v>
      </c>
      <c r="H162" s="26"/>
      <c r="I162" s="26" t="e">
        <f>#REF!+#REF!</f>
        <v>#REF!</v>
      </c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</row>
    <row r="163" spans="1:177" s="1" customFormat="1" ht="16.5" hidden="1" thickBot="1">
      <c r="A163" s="21"/>
      <c r="B163" s="24" t="s">
        <v>25</v>
      </c>
      <c r="C163" s="26">
        <f>C130+C135</f>
        <v>4336272.09</v>
      </c>
      <c r="D163" s="26">
        <f>D130+D135</f>
        <v>4463098.529999999</v>
      </c>
      <c r="E163" s="26">
        <f>E130+E135</f>
        <v>2567061.73</v>
      </c>
      <c r="F163" s="26">
        <f>F130+F135</f>
        <v>2974270.3842857145</v>
      </c>
      <c r="G163" s="26">
        <f>G130+G135</f>
        <v>3358275.253011533</v>
      </c>
      <c r="H163" s="26"/>
      <c r="I163" s="26">
        <f>I130+I135</f>
        <v>2859631.804037048</v>
      </c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  <c r="EG163" s="89"/>
      <c r="EH163" s="89"/>
      <c r="EI163" s="89"/>
      <c r="EJ163" s="89"/>
      <c r="EK163" s="89"/>
      <c r="EL163" s="89"/>
      <c r="EM163" s="89"/>
      <c r="EN163" s="89"/>
      <c r="EO163" s="89"/>
      <c r="EP163" s="89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89"/>
      <c r="FD163" s="89"/>
      <c r="FE163" s="89"/>
      <c r="FF163" s="89"/>
      <c r="FG163" s="89"/>
      <c r="FH163" s="89"/>
      <c r="FI163" s="89"/>
      <c r="FJ163" s="89"/>
      <c r="FK163" s="89"/>
      <c r="FL163" s="89"/>
      <c r="FM163" s="89"/>
      <c r="FN163" s="89"/>
      <c r="FO163" s="89"/>
      <c r="FP163" s="89"/>
      <c r="FQ163" s="89"/>
      <c r="FR163" s="89"/>
      <c r="FS163" s="89"/>
      <c r="FT163" s="89"/>
      <c r="FU163" s="89"/>
    </row>
    <row r="164" spans="1:177" s="1" customFormat="1" ht="16.5" hidden="1" thickBot="1">
      <c r="A164" s="21"/>
      <c r="B164" s="24" t="s">
        <v>26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/>
      <c r="I164" s="26" t="e">
        <f>#REF!</f>
        <v>#REF!</v>
      </c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  <c r="EG164" s="89"/>
      <c r="EH164" s="89"/>
      <c r="EI164" s="89"/>
      <c r="EJ164" s="89"/>
      <c r="EK164" s="89"/>
      <c r="EL164" s="89"/>
      <c r="EM164" s="89"/>
      <c r="EN164" s="89"/>
      <c r="EO164" s="89"/>
      <c r="EP164" s="89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89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</row>
    <row r="165" spans="1:177" s="1" customFormat="1" ht="16.5" hidden="1" thickBot="1">
      <c r="A165" s="21"/>
      <c r="B165" s="24" t="s">
        <v>27</v>
      </c>
      <c r="C165" s="26" t="e">
        <f>C124+#REF!+#REF!+#REF!+#REF!+#REF!+#REF!</f>
        <v>#REF!</v>
      </c>
      <c r="D165" s="26" t="e">
        <f>D124+#REF!+#REF!+#REF!+#REF!+#REF!+#REF!</f>
        <v>#REF!</v>
      </c>
      <c r="E165" s="26" t="e">
        <f>E124+#REF!+#REF!+#REF!+#REF!+#REF!+#REF!</f>
        <v>#REF!</v>
      </c>
      <c r="F165" s="26" t="e">
        <f>F124+#REF!+#REF!+#REF!+#REF!+#REF!+#REF!</f>
        <v>#REF!</v>
      </c>
      <c r="G165" s="26" t="e">
        <f>G124+#REF!+#REF!+#REF!+#REF!+#REF!+#REF!</f>
        <v>#REF!</v>
      </c>
      <c r="H165" s="26"/>
      <c r="I165" s="26" t="e">
        <f>I124+#REF!+#REF!+#REF!+#REF!+#REF!+#REF!</f>
        <v>#REF!</v>
      </c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/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9"/>
      <c r="DM165" s="89"/>
      <c r="DN165" s="89"/>
      <c r="DO165" s="89"/>
      <c r="DP165" s="89"/>
      <c r="DQ165" s="89"/>
      <c r="DR165" s="89"/>
      <c r="DS165" s="89"/>
      <c r="DT165" s="89"/>
      <c r="DU165" s="89"/>
      <c r="DV165" s="89"/>
      <c r="DW165" s="89"/>
      <c r="DX165" s="89"/>
      <c r="DY165" s="89"/>
      <c r="DZ165" s="89"/>
      <c r="EA165" s="89"/>
      <c r="EB165" s="89"/>
      <c r="EC165" s="89"/>
      <c r="ED165" s="89"/>
      <c r="EE165" s="89"/>
      <c r="EF165" s="89"/>
      <c r="EG165" s="89"/>
      <c r="EH165" s="89"/>
      <c r="EI165" s="89"/>
      <c r="EJ165" s="89"/>
      <c r="EK165" s="89"/>
      <c r="EL165" s="89"/>
      <c r="EM165" s="89"/>
      <c r="EN165" s="89"/>
      <c r="EO165" s="89"/>
      <c r="EP165" s="89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89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</row>
    <row r="166" spans="1:177" s="1" customFormat="1" ht="16.5" hidden="1" thickBot="1">
      <c r="A166" s="21"/>
      <c r="B166" s="24" t="s">
        <v>33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/>
      <c r="I166" s="26" t="e">
        <f>#REF!</f>
        <v>#REF!</v>
      </c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  <c r="CR166" s="89"/>
      <c r="CS166" s="89"/>
      <c r="CT166" s="89"/>
      <c r="CU166" s="89"/>
      <c r="CV166" s="89"/>
      <c r="CW166" s="89"/>
      <c r="CX166" s="89"/>
      <c r="CY166" s="89"/>
      <c r="CZ166" s="89"/>
      <c r="DA166" s="89"/>
      <c r="DB166" s="89"/>
      <c r="DC166" s="89"/>
      <c r="DD166" s="89"/>
      <c r="DE166" s="89"/>
      <c r="DF166" s="89"/>
      <c r="DG166" s="89"/>
      <c r="DH166" s="89"/>
      <c r="DI166" s="89"/>
      <c r="DJ166" s="89"/>
      <c r="DK166" s="89"/>
      <c r="DL166" s="89"/>
      <c r="DM166" s="89"/>
      <c r="DN166" s="89"/>
      <c r="DO166" s="89"/>
      <c r="DP166" s="89"/>
      <c r="DQ166" s="89"/>
      <c r="DR166" s="89"/>
      <c r="DS166" s="89"/>
      <c r="DT166" s="89"/>
      <c r="DU166" s="89"/>
      <c r="DV166" s="89"/>
      <c r="DW166" s="89"/>
      <c r="DX166" s="89"/>
      <c r="DY166" s="89"/>
      <c r="DZ166" s="89"/>
      <c r="EA166" s="89"/>
      <c r="EB166" s="89"/>
      <c r="EC166" s="89"/>
      <c r="ED166" s="89"/>
      <c r="EE166" s="89"/>
      <c r="EF166" s="89"/>
      <c r="EG166" s="89"/>
      <c r="EH166" s="89"/>
      <c r="EI166" s="89"/>
      <c r="EJ166" s="89"/>
      <c r="EK166" s="89"/>
      <c r="EL166" s="89"/>
      <c r="EM166" s="89"/>
      <c r="EN166" s="89"/>
      <c r="EO166" s="89"/>
      <c r="EP166" s="89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89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</row>
    <row r="167" spans="1:177" s="1" customFormat="1" ht="16.5" hidden="1" thickBot="1">
      <c r="A167" s="21"/>
      <c r="B167" s="24" t="s">
        <v>28</v>
      </c>
      <c r="C167" s="26" t="e">
        <f>#REF!+#REF!</f>
        <v>#REF!</v>
      </c>
      <c r="D167" s="26" t="e">
        <f>#REF!+#REF!</f>
        <v>#REF!</v>
      </c>
      <c r="E167" s="26" t="e">
        <f>#REF!+#REF!</f>
        <v>#REF!</v>
      </c>
      <c r="F167" s="26" t="e">
        <f>#REF!+#REF!</f>
        <v>#REF!</v>
      </c>
      <c r="G167" s="26" t="e">
        <f>#REF!+#REF!</f>
        <v>#REF!</v>
      </c>
      <c r="H167" s="26"/>
      <c r="I167" s="26" t="e">
        <f>#REF!+#REF!</f>
        <v>#REF!</v>
      </c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  <c r="CR167" s="89"/>
      <c r="CS167" s="89"/>
      <c r="CT167" s="89"/>
      <c r="CU167" s="89"/>
      <c r="CV167" s="89"/>
      <c r="CW167" s="89"/>
      <c r="CX167" s="89"/>
      <c r="CY167" s="89"/>
      <c r="CZ167" s="89"/>
      <c r="DA167" s="89"/>
      <c r="DB167" s="89"/>
      <c r="DC167" s="89"/>
      <c r="DD167" s="89"/>
      <c r="DE167" s="89"/>
      <c r="DF167" s="89"/>
      <c r="DG167" s="89"/>
      <c r="DH167" s="89"/>
      <c r="DI167" s="89"/>
      <c r="DJ167" s="89"/>
      <c r="DK167" s="89"/>
      <c r="DL167" s="89"/>
      <c r="DM167" s="89"/>
      <c r="DN167" s="89"/>
      <c r="DO167" s="89"/>
      <c r="DP167" s="89"/>
      <c r="DQ167" s="89"/>
      <c r="DR167" s="89"/>
      <c r="DS167" s="89"/>
      <c r="DT167" s="89"/>
      <c r="DU167" s="89"/>
      <c r="DV167" s="89"/>
      <c r="DW167" s="89"/>
      <c r="DX167" s="89"/>
      <c r="DY167" s="89"/>
      <c r="DZ167" s="89"/>
      <c r="EA167" s="89"/>
      <c r="EB167" s="89"/>
      <c r="EC167" s="89"/>
      <c r="ED167" s="89"/>
      <c r="EE167" s="89"/>
      <c r="EF167" s="89"/>
      <c r="EG167" s="89"/>
      <c r="EH167" s="89"/>
      <c r="EI167" s="89"/>
      <c r="EJ167" s="89"/>
      <c r="EK167" s="89"/>
      <c r="EL167" s="89"/>
      <c r="EM167" s="89"/>
      <c r="EN167" s="89"/>
      <c r="EO167" s="89"/>
      <c r="EP167" s="89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89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</row>
    <row r="168" spans="1:177" s="1" customFormat="1" ht="16.5" hidden="1" thickBot="1">
      <c r="A168" s="21"/>
      <c r="B168" s="24" t="s">
        <v>29</v>
      </c>
      <c r="C168" s="26" t="e">
        <f>#REF!+#REF!</f>
        <v>#REF!</v>
      </c>
      <c r="D168" s="26" t="e">
        <f>#REF!+#REF!</f>
        <v>#REF!</v>
      </c>
      <c r="E168" s="26" t="e">
        <f>#REF!+#REF!</f>
        <v>#REF!</v>
      </c>
      <c r="F168" s="26" t="e">
        <f>#REF!+#REF!</f>
        <v>#REF!</v>
      </c>
      <c r="G168" s="26" t="e">
        <f>#REF!+#REF!</f>
        <v>#REF!</v>
      </c>
      <c r="H168" s="26"/>
      <c r="I168" s="26" t="e">
        <f>#REF!+#REF!</f>
        <v>#REF!</v>
      </c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  <c r="EG168" s="89"/>
      <c r="EH168" s="89"/>
      <c r="EI168" s="89"/>
      <c r="EJ168" s="89"/>
      <c r="EK168" s="89"/>
      <c r="EL168" s="89"/>
      <c r="EM168" s="89"/>
      <c r="EN168" s="89"/>
      <c r="EO168" s="89"/>
      <c r="EP168" s="89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89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89"/>
      <c r="FQ168" s="89"/>
      <c r="FR168" s="89"/>
      <c r="FS168" s="89"/>
      <c r="FT168" s="89"/>
      <c r="FU168" s="89"/>
    </row>
    <row r="169" spans="1:177" s="1" customFormat="1" ht="16.5" hidden="1" thickBot="1">
      <c r="A169" s="21"/>
      <c r="B169" s="24" t="s">
        <v>30</v>
      </c>
      <c r="C169" s="26" t="e">
        <f>C167+C168</f>
        <v>#REF!</v>
      </c>
      <c r="D169" s="26" t="e">
        <f aca="true" t="shared" si="30" ref="D169:I169">D167+D168</f>
        <v>#REF!</v>
      </c>
      <c r="E169" s="26" t="e">
        <f t="shared" si="30"/>
        <v>#REF!</v>
      </c>
      <c r="F169" s="26" t="e">
        <f t="shared" si="30"/>
        <v>#REF!</v>
      </c>
      <c r="G169" s="26" t="e">
        <f t="shared" si="30"/>
        <v>#REF!</v>
      </c>
      <c r="H169" s="26"/>
      <c r="I169" s="26" t="e">
        <f t="shared" si="30"/>
        <v>#REF!</v>
      </c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</row>
    <row r="170" spans="1:177" s="1" customFormat="1" ht="16.5" hidden="1" thickBot="1">
      <c r="A170" s="21"/>
      <c r="B170" s="24" t="s">
        <v>31</v>
      </c>
      <c r="C170" s="26" t="e">
        <f>((C8+#REF!)-(C154)-((#REF!+#REF!)-C169))</f>
        <v>#REF!</v>
      </c>
      <c r="D170" s="26" t="e">
        <f>((D8+#REF!)-(D154)-((#REF!+#REF!)-D169))</f>
        <v>#REF!</v>
      </c>
      <c r="E170" s="26" t="e">
        <f>((E8+#REF!)-(E154)-((#REF!+#REF!)-E169))</f>
        <v>#REF!</v>
      </c>
      <c r="F170" s="26" t="e">
        <f>((F8+#REF!)-(F154)-((#REF!+#REF!)-F169))</f>
        <v>#REF!</v>
      </c>
      <c r="G170" s="26" t="e">
        <f>((G8+#REF!)-(G154)-((#REF!+#REF!)-G169))</f>
        <v>#REF!</v>
      </c>
      <c r="H170" s="26"/>
      <c r="I170" s="26" t="e">
        <f>((I8+#REF!)-(I154)-((#REF!+#REF!)-I169))</f>
        <v>#REF!</v>
      </c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  <c r="EG170" s="89"/>
      <c r="EH170" s="89"/>
      <c r="EI170" s="89"/>
      <c r="EJ170" s="89"/>
      <c r="EK170" s="89"/>
      <c r="EL170" s="89"/>
      <c r="EM170" s="89"/>
      <c r="EN170" s="89"/>
      <c r="EO170" s="89"/>
      <c r="EP170" s="89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89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89"/>
      <c r="FQ170" s="89"/>
      <c r="FR170" s="89"/>
      <c r="FS170" s="89"/>
      <c r="FT170" s="89"/>
      <c r="FU170" s="89"/>
    </row>
    <row r="171" spans="1:177" s="1" customFormat="1" ht="16.5" hidden="1" thickBot="1">
      <c r="A171" s="21"/>
      <c r="B171" s="27" t="s">
        <v>32</v>
      </c>
      <c r="C171" s="28" t="e">
        <f>-(C170-(C167-C19-C20-C21-#REF!))</f>
        <v>#REF!</v>
      </c>
      <c r="D171" s="28" t="e">
        <f>-(D170-(D167-D19-D20-D21-#REF!))</f>
        <v>#REF!</v>
      </c>
      <c r="E171" s="28" t="e">
        <f>-(E170-(E167-E19-E20-E21-#REF!))</f>
        <v>#REF!</v>
      </c>
      <c r="F171" s="28" t="e">
        <f>-(F170-(F167-F19-F20-F21-#REF!))</f>
        <v>#REF!</v>
      </c>
      <c r="G171" s="28" t="e">
        <f>-(G170-(G167-G19-G20-G21-#REF!))</f>
        <v>#REF!</v>
      </c>
      <c r="H171" s="28"/>
      <c r="I171" s="28" t="e">
        <f>-(I170-(I167-I19-I20-I21-#REF!))</f>
        <v>#REF!</v>
      </c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  <c r="EG171" s="89"/>
      <c r="EH171" s="89"/>
      <c r="EI171" s="89"/>
      <c r="EJ171" s="89"/>
      <c r="EK171" s="89"/>
      <c r="EL171" s="89"/>
      <c r="EM171" s="89"/>
      <c r="EN171" s="89"/>
      <c r="EO171" s="89"/>
      <c r="EP171" s="89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89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</row>
    <row r="172" spans="1:177" s="1" customFormat="1" ht="16.5" thickTop="1">
      <c r="A172" s="21"/>
      <c r="B172" s="29"/>
      <c r="C172" s="29"/>
      <c r="D172" s="29"/>
      <c r="E172" s="29"/>
      <c r="F172" s="29"/>
      <c r="G172" s="29"/>
      <c r="H172" s="29"/>
      <c r="I172" s="2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  <c r="EG172" s="89"/>
      <c r="EH172" s="89"/>
      <c r="EI172" s="89"/>
      <c r="EJ172" s="89"/>
      <c r="EK172" s="89"/>
      <c r="EL172" s="89"/>
      <c r="EM172" s="89"/>
      <c r="EN172" s="89"/>
      <c r="EO172" s="89"/>
      <c r="EP172" s="89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89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</row>
    <row r="173" spans="2:177" s="1" customFormat="1" ht="15.75">
      <c r="B173" s="5"/>
      <c r="C173" s="5"/>
      <c r="D173" s="5"/>
      <c r="E173" s="5"/>
      <c r="F173" s="5"/>
      <c r="G173" s="5"/>
      <c r="H173" s="5"/>
      <c r="I173" s="5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89"/>
      <c r="EK173" s="89"/>
      <c r="EL173" s="89"/>
      <c r="EM173" s="89"/>
      <c r="EN173" s="89"/>
      <c r="EO173" s="89"/>
      <c r="EP173" s="89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89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89"/>
      <c r="FQ173" s="89"/>
      <c r="FR173" s="89"/>
      <c r="FS173" s="89"/>
      <c r="FT173" s="89"/>
      <c r="FU173" s="89"/>
    </row>
    <row r="174" spans="2:177" s="1" customFormat="1" ht="15.75">
      <c r="B174" s="5"/>
      <c r="C174" s="5"/>
      <c r="D174" s="5"/>
      <c r="E174" s="5"/>
      <c r="F174" s="5"/>
      <c r="G174" s="5"/>
      <c r="H174" s="5"/>
      <c r="I174" s="5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</row>
    <row r="175" spans="2:177" s="1" customFormat="1" ht="15.75">
      <c r="B175" s="5"/>
      <c r="C175" s="5"/>
      <c r="D175" s="5"/>
      <c r="E175" s="5"/>
      <c r="F175" s="5"/>
      <c r="G175" s="5"/>
      <c r="H175" s="5"/>
      <c r="I175" s="5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EO175" s="89"/>
      <c r="EP175" s="89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89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</row>
    <row r="176" spans="2:177" s="1" customFormat="1" ht="15.75">
      <c r="B176" s="5"/>
      <c r="C176" s="5"/>
      <c r="D176" s="5"/>
      <c r="E176" s="5"/>
      <c r="F176" s="5"/>
      <c r="G176" s="5"/>
      <c r="H176" s="5"/>
      <c r="I176" s="5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EO176" s="89"/>
      <c r="EP176" s="89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89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</row>
    <row r="177" spans="2:177" s="1" customFormat="1" ht="15.75">
      <c r="B177" s="2"/>
      <c r="C177" s="5"/>
      <c r="D177" s="5"/>
      <c r="E177" s="5"/>
      <c r="F177" s="5"/>
      <c r="G177" s="5"/>
      <c r="H177" s="5"/>
      <c r="I177" s="5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  <c r="CR177" s="89"/>
      <c r="CS177" s="89"/>
      <c r="CT177" s="89"/>
      <c r="CU177" s="89"/>
      <c r="CV177" s="89"/>
      <c r="CW177" s="89"/>
      <c r="CX177" s="89"/>
      <c r="CY177" s="89"/>
      <c r="CZ177" s="89"/>
      <c r="DA177" s="89"/>
      <c r="DB177" s="89"/>
      <c r="DC177" s="89"/>
      <c r="DD177" s="89"/>
      <c r="DE177" s="89"/>
      <c r="DF177" s="89"/>
      <c r="DG177" s="89"/>
      <c r="DH177" s="89"/>
      <c r="DI177" s="89"/>
      <c r="DJ177" s="89"/>
      <c r="DK177" s="89"/>
      <c r="DL177" s="89"/>
      <c r="DM177" s="89"/>
      <c r="DN177" s="89"/>
      <c r="DO177" s="89"/>
      <c r="DP177" s="89"/>
      <c r="DQ177" s="89"/>
      <c r="DR177" s="89"/>
      <c r="DS177" s="89"/>
      <c r="DT177" s="89"/>
      <c r="DU177" s="89"/>
      <c r="DV177" s="89"/>
      <c r="DW177" s="89"/>
      <c r="DX177" s="89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  <c r="EL177" s="89"/>
      <c r="EM177" s="89"/>
      <c r="EN177" s="89"/>
      <c r="EO177" s="89"/>
      <c r="EP177" s="89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89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89"/>
      <c r="FQ177" s="89"/>
      <c r="FR177" s="89"/>
      <c r="FS177" s="89"/>
      <c r="FT177" s="89"/>
      <c r="FU177" s="89"/>
    </row>
    <row r="178" spans="2:177" s="1" customFormat="1" ht="15.75">
      <c r="B178" s="5"/>
      <c r="C178" s="5"/>
      <c r="D178" s="5"/>
      <c r="E178" s="5"/>
      <c r="F178" s="5"/>
      <c r="G178" s="5"/>
      <c r="H178" s="5"/>
      <c r="I178" s="5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89"/>
      <c r="FD178" s="89"/>
      <c r="FE178" s="89"/>
      <c r="FF178" s="89"/>
      <c r="FG178" s="89"/>
      <c r="FH178" s="89"/>
      <c r="FI178" s="89"/>
      <c r="FJ178" s="89"/>
      <c r="FK178" s="89"/>
      <c r="FL178" s="89"/>
      <c r="FM178" s="89"/>
      <c r="FN178" s="89"/>
      <c r="FO178" s="89"/>
      <c r="FP178" s="89"/>
      <c r="FQ178" s="89"/>
      <c r="FR178" s="89"/>
      <c r="FS178" s="89"/>
      <c r="FT178" s="89"/>
      <c r="FU178" s="89"/>
    </row>
    <row r="179" spans="2:177" s="1" customFormat="1" ht="15.75">
      <c r="B179" s="5"/>
      <c r="C179" s="5"/>
      <c r="D179" s="5"/>
      <c r="E179" s="5"/>
      <c r="F179" s="5"/>
      <c r="G179" s="5"/>
      <c r="H179" s="5"/>
      <c r="I179" s="5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EO179" s="89"/>
      <c r="EP179" s="89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89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</row>
    <row r="180" spans="2:177" s="1" customFormat="1" ht="15.75">
      <c r="B180" s="5"/>
      <c r="C180" s="5"/>
      <c r="D180" s="5"/>
      <c r="E180" s="5"/>
      <c r="F180" s="5"/>
      <c r="G180" s="5"/>
      <c r="H180" s="5"/>
      <c r="I180" s="5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EO180" s="89"/>
      <c r="EP180" s="89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89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</row>
    <row r="181" spans="2:177" s="1" customFormat="1" ht="15.75">
      <c r="B181" s="5"/>
      <c r="C181" s="5"/>
      <c r="D181" s="5"/>
      <c r="E181" s="5"/>
      <c r="F181" s="5"/>
      <c r="G181" s="5"/>
      <c r="H181" s="5"/>
      <c r="I181" s="5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</row>
    <row r="182" spans="2:177" s="1" customFormat="1" ht="15.75">
      <c r="B182" s="5"/>
      <c r="C182" s="5"/>
      <c r="D182" s="5"/>
      <c r="E182" s="5"/>
      <c r="F182" s="5"/>
      <c r="G182" s="5"/>
      <c r="H182" s="5"/>
      <c r="I182" s="5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89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89"/>
      <c r="FQ182" s="89"/>
      <c r="FR182" s="89"/>
      <c r="FS182" s="89"/>
      <c r="FT182" s="89"/>
      <c r="FU182" s="89"/>
    </row>
    <row r="183" spans="2:177" s="1" customFormat="1" ht="15.75">
      <c r="B183" s="5"/>
      <c r="C183" s="5"/>
      <c r="D183" s="5"/>
      <c r="E183" s="5"/>
      <c r="F183" s="5"/>
      <c r="G183" s="5"/>
      <c r="H183" s="5"/>
      <c r="I183" s="5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  <c r="EL183" s="89"/>
      <c r="EM183" s="89"/>
      <c r="EN183" s="89"/>
      <c r="EO183" s="89"/>
      <c r="EP183" s="89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89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89"/>
      <c r="FQ183" s="89"/>
      <c r="FR183" s="89"/>
      <c r="FS183" s="89"/>
      <c r="FT183" s="89"/>
      <c r="FU183" s="89"/>
    </row>
    <row r="184" spans="2:177" s="1" customFormat="1" ht="18.75" customHeight="1">
      <c r="B184" s="5"/>
      <c r="C184" s="5"/>
      <c r="D184" s="5"/>
      <c r="E184" s="5"/>
      <c r="F184" s="5"/>
      <c r="G184" s="5"/>
      <c r="H184" s="5"/>
      <c r="I184" s="5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  <c r="EL184" s="89"/>
      <c r="EM184" s="89"/>
      <c r="EN184" s="89"/>
      <c r="EO184" s="89"/>
      <c r="EP184" s="89"/>
      <c r="EQ184" s="89"/>
      <c r="ER184" s="89"/>
      <c r="ES184" s="89"/>
      <c r="ET184" s="89"/>
      <c r="EU184" s="89"/>
      <c r="EV184" s="89"/>
      <c r="EW184" s="89"/>
      <c r="EX184" s="89"/>
      <c r="EY184" s="89"/>
      <c r="EZ184" s="89"/>
      <c r="FA184" s="89"/>
      <c r="FB184" s="89"/>
      <c r="FC184" s="89"/>
      <c r="FD184" s="89"/>
      <c r="FE184" s="89"/>
      <c r="FF184" s="89"/>
      <c r="FG184" s="89"/>
      <c r="FH184" s="89"/>
      <c r="FI184" s="89"/>
      <c r="FJ184" s="89"/>
      <c r="FK184" s="89"/>
      <c r="FL184" s="89"/>
      <c r="FM184" s="89"/>
      <c r="FN184" s="89"/>
      <c r="FO184" s="89"/>
      <c r="FP184" s="89"/>
      <c r="FQ184" s="89"/>
      <c r="FR184" s="89"/>
      <c r="FS184" s="89"/>
      <c r="FT184" s="89"/>
      <c r="FU184" s="89"/>
    </row>
    <row r="185" spans="2:177" s="2" customFormat="1" ht="15.75">
      <c r="B185" s="5"/>
      <c r="C185" s="5"/>
      <c r="D185" s="5"/>
      <c r="E185" s="5"/>
      <c r="F185" s="5"/>
      <c r="G185" s="5"/>
      <c r="H185" s="5"/>
      <c r="I185" s="5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</row>
    <row r="186" spans="2:177" s="1" customFormat="1" ht="15.75">
      <c r="B186" s="5"/>
      <c r="C186" s="5"/>
      <c r="D186" s="5"/>
      <c r="E186" s="5"/>
      <c r="F186" s="5"/>
      <c r="G186" s="5"/>
      <c r="H186" s="5"/>
      <c r="I186" s="5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EO186" s="89"/>
      <c r="EP186" s="89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89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89"/>
      <c r="FQ186" s="89"/>
      <c r="FR186" s="89"/>
      <c r="FS186" s="89"/>
      <c r="FT186" s="89"/>
      <c r="FU186" s="89"/>
    </row>
    <row r="187" spans="2:177" s="1" customFormat="1" ht="15.75">
      <c r="B187" s="5"/>
      <c r="C187" s="5"/>
      <c r="D187" s="5"/>
      <c r="E187" s="5"/>
      <c r="F187" s="5"/>
      <c r="G187" s="5"/>
      <c r="H187" s="5"/>
      <c r="I187" s="5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  <c r="EL187" s="89"/>
      <c r="EM187" s="89"/>
      <c r="EN187" s="89"/>
      <c r="EO187" s="89"/>
      <c r="EP187" s="89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89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89"/>
      <c r="FQ187" s="89"/>
      <c r="FR187" s="89"/>
      <c r="FS187" s="89"/>
      <c r="FT187" s="89"/>
      <c r="FU187" s="89"/>
    </row>
    <row r="188" spans="2:177" s="1" customFormat="1" ht="15.75">
      <c r="B188" s="5"/>
      <c r="C188" s="5"/>
      <c r="D188" s="5"/>
      <c r="E188" s="5"/>
      <c r="F188" s="5"/>
      <c r="G188" s="5"/>
      <c r="H188" s="5"/>
      <c r="I188" s="5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  <c r="EL188" s="89"/>
      <c r="EM188" s="89"/>
      <c r="EN188" s="89"/>
      <c r="EO188" s="89"/>
      <c r="EP188" s="89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89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89"/>
      <c r="FQ188" s="89"/>
      <c r="FR188" s="89"/>
      <c r="FS188" s="89"/>
      <c r="FT188" s="89"/>
      <c r="FU188" s="89"/>
    </row>
    <row r="189" spans="2:177" s="1" customFormat="1" ht="15.75">
      <c r="B189" s="5"/>
      <c r="C189" s="5"/>
      <c r="D189" s="5"/>
      <c r="E189" s="5"/>
      <c r="F189" s="5"/>
      <c r="G189" s="5"/>
      <c r="H189" s="5"/>
      <c r="I189" s="5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89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89"/>
      <c r="FQ189" s="89"/>
      <c r="FR189" s="89"/>
      <c r="FS189" s="89"/>
      <c r="FT189" s="89"/>
      <c r="FU189" s="89"/>
    </row>
    <row r="190" spans="2:177" s="1" customFormat="1" ht="15.75">
      <c r="B190" s="5"/>
      <c r="C190" s="5"/>
      <c r="D190" s="5"/>
      <c r="E190" s="5"/>
      <c r="F190" s="5"/>
      <c r="G190" s="5"/>
      <c r="H190" s="5"/>
      <c r="I190" s="5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  <c r="EL190" s="89"/>
      <c r="EM190" s="89"/>
      <c r="EN190" s="89"/>
      <c r="EO190" s="89"/>
      <c r="EP190" s="89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89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89"/>
      <c r="FQ190" s="89"/>
      <c r="FR190" s="89"/>
      <c r="FS190" s="89"/>
      <c r="FT190" s="89"/>
      <c r="FU190" s="89"/>
    </row>
    <row r="191" spans="2:177" s="3" customFormat="1" ht="15.75">
      <c r="B191" s="5"/>
      <c r="C191" s="6"/>
      <c r="D191" s="6"/>
      <c r="E191" s="6"/>
      <c r="F191" s="6"/>
      <c r="G191" s="6"/>
      <c r="H191" s="6"/>
      <c r="I191" s="6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  <c r="FL191" s="95"/>
      <c r="FM191" s="95"/>
      <c r="FN191" s="95"/>
      <c r="FO191" s="95"/>
      <c r="FP191" s="95"/>
      <c r="FQ191" s="95"/>
      <c r="FR191" s="95"/>
      <c r="FS191" s="95"/>
      <c r="FT191" s="95"/>
      <c r="FU191" s="95"/>
    </row>
    <row r="192" spans="2:177" s="1" customFormat="1" ht="15.75">
      <c r="B192" s="2"/>
      <c r="C192" s="2"/>
      <c r="D192" s="2"/>
      <c r="E192" s="2"/>
      <c r="F192" s="2"/>
      <c r="G192" s="2"/>
      <c r="H192" s="2"/>
      <c r="I192" s="2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  <c r="EG192" s="89"/>
      <c r="EH192" s="89"/>
      <c r="EI192" s="89"/>
      <c r="EJ192" s="89"/>
      <c r="EK192" s="89"/>
      <c r="EL192" s="89"/>
      <c r="EM192" s="89"/>
      <c r="EN192" s="89"/>
      <c r="EO192" s="89"/>
      <c r="EP192" s="89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89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89"/>
      <c r="FQ192" s="89"/>
      <c r="FR192" s="89"/>
      <c r="FS192" s="89"/>
      <c r="FT192" s="89"/>
      <c r="FU192" s="89"/>
    </row>
    <row r="193" spans="2:177" s="1" customFormat="1" ht="15.75">
      <c r="B193" s="2"/>
      <c r="C193" s="2"/>
      <c r="D193" s="2"/>
      <c r="E193" s="2"/>
      <c r="F193" s="2"/>
      <c r="G193" s="2"/>
      <c r="H193" s="2"/>
      <c r="I193" s="2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  <c r="EL193" s="89"/>
      <c r="EM193" s="89"/>
      <c r="EN193" s="89"/>
      <c r="EO193" s="89"/>
      <c r="EP193" s="89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89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89"/>
      <c r="FQ193" s="89"/>
      <c r="FR193" s="89"/>
      <c r="FS193" s="89"/>
      <c r="FT193" s="89"/>
      <c r="FU193" s="89"/>
    </row>
    <row r="194" spans="2:177" s="1" customFormat="1" ht="15.75">
      <c r="B194" s="2"/>
      <c r="C194" s="2"/>
      <c r="D194" s="2"/>
      <c r="E194" s="2"/>
      <c r="F194" s="2"/>
      <c r="G194" s="2"/>
      <c r="H194" s="2"/>
      <c r="I194" s="2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  <c r="EG194" s="89"/>
      <c r="EH194" s="89"/>
      <c r="EI194" s="89"/>
      <c r="EJ194" s="89"/>
      <c r="EK194" s="89"/>
      <c r="EL194" s="89"/>
      <c r="EM194" s="89"/>
      <c r="EN194" s="89"/>
      <c r="EO194" s="89"/>
      <c r="EP194" s="89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89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89"/>
      <c r="FQ194" s="89"/>
      <c r="FR194" s="89"/>
      <c r="FS194" s="89"/>
      <c r="FT194" s="89"/>
      <c r="FU194" s="89"/>
    </row>
    <row r="195" spans="2:177" s="1" customFormat="1" ht="15.75">
      <c r="B195" s="2"/>
      <c r="C195" s="2"/>
      <c r="D195" s="2"/>
      <c r="E195" s="2"/>
      <c r="F195" s="2"/>
      <c r="G195" s="2"/>
      <c r="H195" s="2"/>
      <c r="I195" s="2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  <c r="EG195" s="89"/>
      <c r="EH195" s="89"/>
      <c r="EI195" s="89"/>
      <c r="EJ195" s="89"/>
      <c r="EK195" s="89"/>
      <c r="EL195" s="89"/>
      <c r="EM195" s="89"/>
      <c r="EN195" s="89"/>
      <c r="EO195" s="89"/>
      <c r="EP195" s="89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89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89"/>
      <c r="FQ195" s="89"/>
      <c r="FR195" s="89"/>
      <c r="FS195" s="89"/>
      <c r="FT195" s="89"/>
      <c r="FU195" s="89"/>
    </row>
    <row r="196" spans="2:177" s="1" customFormat="1" ht="15.75">
      <c r="B196" s="2"/>
      <c r="C196" s="2"/>
      <c r="D196" s="2"/>
      <c r="E196" s="2"/>
      <c r="F196" s="2"/>
      <c r="G196" s="2"/>
      <c r="H196" s="2"/>
      <c r="I196" s="2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  <c r="CR196" s="89"/>
      <c r="CS196" s="89"/>
      <c r="CT196" s="89"/>
      <c r="CU196" s="89"/>
      <c r="CV196" s="89"/>
      <c r="CW196" s="89"/>
      <c r="CX196" s="89"/>
      <c r="CY196" s="89"/>
      <c r="CZ196" s="89"/>
      <c r="DA196" s="89"/>
      <c r="DB196" s="89"/>
      <c r="DC196" s="89"/>
      <c r="DD196" s="89"/>
      <c r="DE196" s="89"/>
      <c r="DF196" s="89"/>
      <c r="DG196" s="89"/>
      <c r="DH196" s="89"/>
      <c r="DI196" s="89"/>
      <c r="DJ196" s="89"/>
      <c r="DK196" s="89"/>
      <c r="DL196" s="89"/>
      <c r="DM196" s="89"/>
      <c r="DN196" s="89"/>
      <c r="DO196" s="89"/>
      <c r="DP196" s="89"/>
      <c r="DQ196" s="89"/>
      <c r="DR196" s="89"/>
      <c r="DS196" s="89"/>
      <c r="DT196" s="89"/>
      <c r="DU196" s="89"/>
      <c r="DV196" s="89"/>
      <c r="DW196" s="89"/>
      <c r="DX196" s="89"/>
      <c r="DY196" s="89"/>
      <c r="DZ196" s="89"/>
      <c r="EA196" s="89"/>
      <c r="EB196" s="89"/>
      <c r="EC196" s="89"/>
      <c r="ED196" s="89"/>
      <c r="EE196" s="89"/>
      <c r="EF196" s="89"/>
      <c r="EG196" s="89"/>
      <c r="EH196" s="89"/>
      <c r="EI196" s="89"/>
      <c r="EJ196" s="89"/>
      <c r="EK196" s="89"/>
      <c r="EL196" s="89"/>
      <c r="EM196" s="89"/>
      <c r="EN196" s="89"/>
      <c r="EO196" s="89"/>
      <c r="EP196" s="89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89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89"/>
      <c r="FQ196" s="89"/>
      <c r="FR196" s="89"/>
      <c r="FS196" s="89"/>
      <c r="FT196" s="89"/>
      <c r="FU196" s="89"/>
    </row>
    <row r="197" spans="2:177" s="1" customFormat="1" ht="15.75">
      <c r="B197" s="2"/>
      <c r="C197" s="2"/>
      <c r="D197" s="2"/>
      <c r="E197" s="2"/>
      <c r="F197" s="2"/>
      <c r="G197" s="2"/>
      <c r="H197" s="2"/>
      <c r="I197" s="2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</row>
    <row r="198" spans="2:177" s="1" customFormat="1" ht="15.75">
      <c r="B198" s="2"/>
      <c r="C198" s="2"/>
      <c r="D198" s="2"/>
      <c r="E198" s="2"/>
      <c r="F198" s="2"/>
      <c r="G198" s="2"/>
      <c r="H198" s="2"/>
      <c r="I198" s="2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  <c r="EG198" s="89"/>
      <c r="EH198" s="89"/>
      <c r="EI198" s="89"/>
      <c r="EJ198" s="89"/>
      <c r="EK198" s="89"/>
      <c r="EL198" s="89"/>
      <c r="EM198" s="89"/>
      <c r="EN198" s="89"/>
      <c r="EO198" s="89"/>
      <c r="EP198" s="89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89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89"/>
      <c r="FQ198" s="89"/>
      <c r="FR198" s="89"/>
      <c r="FS198" s="89"/>
      <c r="FT198" s="89"/>
      <c r="FU198" s="89"/>
    </row>
    <row r="199" spans="2:177" s="1" customFormat="1" ht="15.75">
      <c r="B199" s="2"/>
      <c r="C199" s="2"/>
      <c r="D199" s="2"/>
      <c r="E199" s="2"/>
      <c r="F199" s="2"/>
      <c r="G199" s="2"/>
      <c r="H199" s="2"/>
      <c r="I199" s="2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89"/>
      <c r="FT199" s="89"/>
      <c r="FU199" s="89"/>
    </row>
    <row r="200" spans="10:177" s="1" customFormat="1" ht="15.75"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89"/>
      <c r="FQ200" s="89"/>
      <c r="FR200" s="89"/>
      <c r="FS200" s="89"/>
      <c r="FT200" s="89"/>
      <c r="FU200" s="89"/>
    </row>
    <row r="201" spans="10:177" s="1" customFormat="1" ht="15.75"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  <c r="EG201" s="89"/>
      <c r="EH201" s="89"/>
      <c r="EI201" s="89"/>
      <c r="EJ201" s="89"/>
      <c r="EK201" s="89"/>
      <c r="EL201" s="89"/>
      <c r="EM201" s="89"/>
      <c r="EN201" s="89"/>
      <c r="EO201" s="89"/>
      <c r="EP201" s="89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89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89"/>
      <c r="FQ201" s="89"/>
      <c r="FR201" s="89"/>
      <c r="FS201" s="89"/>
      <c r="FT201" s="89"/>
      <c r="FU201" s="89"/>
    </row>
    <row r="202" spans="10:177" s="1" customFormat="1" ht="15.75"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  <c r="CR202" s="89"/>
      <c r="CS202" s="89"/>
      <c r="CT202" s="89"/>
      <c r="CU202" s="89"/>
      <c r="CV202" s="89"/>
      <c r="CW202" s="89"/>
      <c r="CX202" s="89"/>
      <c r="CY202" s="89"/>
      <c r="CZ202" s="89"/>
      <c r="DA202" s="89"/>
      <c r="DB202" s="89"/>
      <c r="DC202" s="89"/>
      <c r="DD202" s="89"/>
      <c r="DE202" s="89"/>
      <c r="DF202" s="89"/>
      <c r="DG202" s="89"/>
      <c r="DH202" s="89"/>
      <c r="DI202" s="89"/>
      <c r="DJ202" s="89"/>
      <c r="DK202" s="89"/>
      <c r="DL202" s="89"/>
      <c r="DM202" s="89"/>
      <c r="DN202" s="89"/>
      <c r="DO202" s="89"/>
      <c r="DP202" s="89"/>
      <c r="DQ202" s="89"/>
      <c r="DR202" s="89"/>
      <c r="DS202" s="89"/>
      <c r="DT202" s="89"/>
      <c r="DU202" s="89"/>
      <c r="DV202" s="89"/>
      <c r="DW202" s="89"/>
      <c r="DX202" s="89"/>
      <c r="DY202" s="89"/>
      <c r="DZ202" s="89"/>
      <c r="EA202" s="89"/>
      <c r="EB202" s="89"/>
      <c r="EC202" s="89"/>
      <c r="ED202" s="89"/>
      <c r="EE202" s="89"/>
      <c r="EF202" s="89"/>
      <c r="EG202" s="89"/>
      <c r="EH202" s="89"/>
      <c r="EI202" s="89"/>
      <c r="EJ202" s="89"/>
      <c r="EK202" s="89"/>
      <c r="EL202" s="89"/>
      <c r="EM202" s="89"/>
      <c r="EN202" s="89"/>
      <c r="EO202" s="89"/>
      <c r="EP202" s="89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89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89"/>
      <c r="FQ202" s="89"/>
      <c r="FR202" s="89"/>
      <c r="FS202" s="89"/>
      <c r="FT202" s="89"/>
      <c r="FU202" s="89"/>
    </row>
    <row r="203" spans="10:177" s="1" customFormat="1" ht="15.75"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</row>
    <row r="204" spans="10:177" s="1" customFormat="1" ht="15.75"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  <c r="EG204" s="89"/>
      <c r="EH204" s="89"/>
      <c r="EI204" s="89"/>
      <c r="EJ204" s="89"/>
      <c r="EK204" s="89"/>
      <c r="EL204" s="89"/>
      <c r="EM204" s="89"/>
      <c r="EN204" s="89"/>
      <c r="EO204" s="89"/>
      <c r="EP204" s="89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89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89"/>
      <c r="FQ204" s="89"/>
      <c r="FR204" s="89"/>
      <c r="FS204" s="89"/>
      <c r="FT204" s="89"/>
      <c r="FU204" s="89"/>
    </row>
    <row r="205" spans="10:177" s="1" customFormat="1" ht="15.75"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  <c r="EO205" s="89"/>
      <c r="EP205" s="89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89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89"/>
      <c r="FQ205" s="89"/>
      <c r="FR205" s="89"/>
      <c r="FS205" s="89"/>
      <c r="FT205" s="89"/>
      <c r="FU205" s="89"/>
    </row>
    <row r="206" spans="10:177" s="1" customFormat="1" ht="15.75"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  <c r="EG206" s="89"/>
      <c r="EH206" s="89"/>
      <c r="EI206" s="89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</row>
    <row r="207" spans="10:177" s="1" customFormat="1" ht="15.75"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  <c r="EG207" s="89"/>
      <c r="EH207" s="89"/>
      <c r="EI207" s="89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</row>
    <row r="208" spans="10:177" s="1" customFormat="1" ht="15.75"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  <c r="EG208" s="89"/>
      <c r="EH208" s="89"/>
      <c r="EI208" s="89"/>
      <c r="EJ208" s="89"/>
      <c r="EK208" s="89"/>
      <c r="EL208" s="89"/>
      <c r="EM208" s="89"/>
      <c r="EN208" s="89"/>
      <c r="EO208" s="89"/>
      <c r="EP208" s="89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89"/>
      <c r="FQ208" s="89"/>
      <c r="FR208" s="89"/>
      <c r="FS208" s="89"/>
      <c r="FT208" s="89"/>
      <c r="FU208" s="89"/>
    </row>
    <row r="209" spans="10:177" s="1" customFormat="1" ht="15.75"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  <c r="DT209" s="89"/>
      <c r="DU209" s="89"/>
      <c r="DV209" s="89"/>
      <c r="DW209" s="89"/>
      <c r="DX209" s="89"/>
      <c r="DY209" s="89"/>
      <c r="DZ209" s="89"/>
      <c r="EA209" s="89"/>
      <c r="EB209" s="89"/>
      <c r="EC209" s="89"/>
      <c r="ED209" s="89"/>
      <c r="EE209" s="89"/>
      <c r="EF209" s="89"/>
      <c r="EG209" s="89"/>
      <c r="EH209" s="89"/>
      <c r="EI209" s="89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</row>
    <row r="210" spans="10:177" s="1" customFormat="1" ht="15.75"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  <c r="DT210" s="89"/>
      <c r="DU210" s="89"/>
      <c r="DV210" s="89"/>
      <c r="DW210" s="89"/>
      <c r="DX210" s="89"/>
      <c r="DY210" s="89"/>
      <c r="DZ210" s="89"/>
      <c r="EA210" s="89"/>
      <c r="EB210" s="89"/>
      <c r="EC210" s="89"/>
      <c r="ED210" s="89"/>
      <c r="EE210" s="89"/>
      <c r="EF210" s="89"/>
      <c r="EG210" s="89"/>
      <c r="EH210" s="89"/>
      <c r="EI210" s="89"/>
      <c r="EJ210" s="89"/>
      <c r="EK210" s="89"/>
      <c r="EL210" s="89"/>
      <c r="EM210" s="89"/>
      <c r="EN210" s="89"/>
      <c r="EO210" s="89"/>
      <c r="EP210" s="89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89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89"/>
      <c r="FQ210" s="89"/>
      <c r="FR210" s="89"/>
      <c r="FS210" s="89"/>
      <c r="FT210" s="89"/>
      <c r="FU210" s="89"/>
    </row>
    <row r="211" spans="10:177" s="1" customFormat="1" ht="15.75"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  <c r="DT211" s="89"/>
      <c r="DU211" s="89"/>
      <c r="DV211" s="89"/>
      <c r="DW211" s="89"/>
      <c r="DX211" s="89"/>
      <c r="DY211" s="89"/>
      <c r="DZ211" s="89"/>
      <c r="EA211" s="89"/>
      <c r="EB211" s="89"/>
      <c r="EC211" s="89"/>
      <c r="ED211" s="89"/>
      <c r="EE211" s="89"/>
      <c r="EF211" s="89"/>
      <c r="EG211" s="89"/>
      <c r="EH211" s="89"/>
      <c r="EI211" s="89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</row>
    <row r="212" spans="10:177" s="1" customFormat="1" ht="15.75"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  <c r="DT212" s="89"/>
      <c r="DU212" s="89"/>
      <c r="DV212" s="89"/>
      <c r="DW212" s="89"/>
      <c r="DX212" s="89"/>
      <c r="DY212" s="89"/>
      <c r="DZ212" s="89"/>
      <c r="EA212" s="89"/>
      <c r="EB212" s="89"/>
      <c r="EC212" s="89"/>
      <c r="ED212" s="89"/>
      <c r="EE212" s="89"/>
      <c r="EF212" s="89"/>
      <c r="EG212" s="89"/>
      <c r="EH212" s="89"/>
      <c r="EI212" s="89"/>
      <c r="EJ212" s="89"/>
      <c r="EK212" s="89"/>
      <c r="EL212" s="89"/>
      <c r="EM212" s="89"/>
      <c r="EN212" s="89"/>
      <c r="EO212" s="89"/>
      <c r="EP212" s="89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89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89"/>
      <c r="FQ212" s="89"/>
      <c r="FR212" s="89"/>
      <c r="FS212" s="89"/>
      <c r="FT212" s="89"/>
      <c r="FU212" s="89"/>
    </row>
    <row r="213" spans="10:177" s="1" customFormat="1" ht="15.75"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</row>
    <row r="214" spans="10:177" s="1" customFormat="1" ht="15.75"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  <c r="EG214" s="89"/>
      <c r="EH214" s="89"/>
      <c r="EI214" s="89"/>
      <c r="EJ214" s="89"/>
      <c r="EK214" s="89"/>
      <c r="EL214" s="89"/>
      <c r="EM214" s="89"/>
      <c r="EN214" s="89"/>
      <c r="EO214" s="89"/>
      <c r="EP214" s="89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89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89"/>
      <c r="FQ214" s="89"/>
      <c r="FR214" s="89"/>
      <c r="FS214" s="89"/>
      <c r="FT214" s="89"/>
      <c r="FU214" s="89"/>
    </row>
    <row r="215" spans="10:177" s="1" customFormat="1" ht="15.75"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  <c r="EG215" s="89"/>
      <c r="EH215" s="89"/>
      <c r="EI215" s="89"/>
      <c r="EJ215" s="89"/>
      <c r="EK215" s="89"/>
      <c r="EL215" s="89"/>
      <c r="EM215" s="89"/>
      <c r="EN215" s="89"/>
      <c r="EO215" s="89"/>
      <c r="EP215" s="89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89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89"/>
      <c r="FQ215" s="89"/>
      <c r="FR215" s="89"/>
      <c r="FS215" s="89"/>
      <c r="FT215" s="89"/>
      <c r="FU215" s="89"/>
    </row>
    <row r="216" spans="10:177" s="1" customFormat="1" ht="15.75"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  <c r="EL216" s="89"/>
      <c r="EM216" s="89"/>
      <c r="EN216" s="89"/>
      <c r="EO216" s="89"/>
      <c r="EP216" s="89"/>
      <c r="EQ216" s="89"/>
      <c r="ER216" s="89"/>
      <c r="ES216" s="89"/>
      <c r="ET216" s="89"/>
      <c r="EU216" s="89"/>
      <c r="EV216" s="89"/>
      <c r="EW216" s="89"/>
      <c r="EX216" s="89"/>
      <c r="EY216" s="89"/>
      <c r="EZ216" s="89"/>
      <c r="FA216" s="8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  <c r="FM216" s="89"/>
      <c r="FN216" s="89"/>
      <c r="FO216" s="89"/>
      <c r="FP216" s="89"/>
      <c r="FQ216" s="89"/>
      <c r="FR216" s="89"/>
      <c r="FS216" s="89"/>
      <c r="FT216" s="89"/>
      <c r="FU216" s="89"/>
    </row>
    <row r="217" spans="10:177" s="1" customFormat="1" ht="15.75"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  <c r="EG217" s="89"/>
      <c r="EH217" s="89"/>
      <c r="EI217" s="89"/>
      <c r="EJ217" s="89"/>
      <c r="EK217" s="89"/>
      <c r="EL217" s="89"/>
      <c r="EM217" s="89"/>
      <c r="EN217" s="89"/>
      <c r="EO217" s="89"/>
      <c r="EP217" s="89"/>
      <c r="EQ217" s="89"/>
      <c r="ER217" s="89"/>
      <c r="ES217" s="89"/>
      <c r="ET217" s="89"/>
      <c r="EU217" s="89"/>
      <c r="EV217" s="89"/>
      <c r="EW217" s="89"/>
      <c r="EX217" s="89"/>
      <c r="EY217" s="89"/>
      <c r="EZ217" s="89"/>
      <c r="FA217" s="89"/>
      <c r="FB217" s="89"/>
      <c r="FC217" s="89"/>
      <c r="FD217" s="89"/>
      <c r="FE217" s="89"/>
      <c r="FF217" s="89"/>
      <c r="FG217" s="89"/>
      <c r="FH217" s="89"/>
      <c r="FI217" s="89"/>
      <c r="FJ217" s="89"/>
      <c r="FK217" s="89"/>
      <c r="FL217" s="89"/>
      <c r="FM217" s="89"/>
      <c r="FN217" s="89"/>
      <c r="FO217" s="89"/>
      <c r="FP217" s="89"/>
      <c r="FQ217" s="89"/>
      <c r="FR217" s="89"/>
      <c r="FS217" s="89"/>
      <c r="FT217" s="89"/>
      <c r="FU217" s="89"/>
    </row>
    <row r="218" spans="10:177" s="1" customFormat="1" ht="15.75"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  <c r="EG218" s="89"/>
      <c r="EH218" s="89"/>
      <c r="EI218" s="89"/>
      <c r="EJ218" s="89"/>
      <c r="EK218" s="89"/>
      <c r="EL218" s="89"/>
      <c r="EM218" s="89"/>
      <c r="EN218" s="89"/>
      <c r="EO218" s="89"/>
      <c r="EP218" s="89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89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89"/>
      <c r="FQ218" s="89"/>
      <c r="FR218" s="89"/>
      <c r="FS218" s="89"/>
      <c r="FT218" s="89"/>
      <c r="FU218" s="89"/>
    </row>
    <row r="219" spans="10:177" s="1" customFormat="1" ht="15.75"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  <c r="EG219" s="89"/>
      <c r="EH219" s="89"/>
      <c r="EI219" s="89"/>
      <c r="EJ219" s="89"/>
      <c r="EK219" s="89"/>
      <c r="EL219" s="89"/>
      <c r="EM219" s="89"/>
      <c r="EN219" s="89"/>
      <c r="EO219" s="89"/>
      <c r="EP219" s="89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89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89"/>
      <c r="FQ219" s="89"/>
      <c r="FR219" s="89"/>
      <c r="FS219" s="89"/>
      <c r="FT219" s="89"/>
      <c r="FU219" s="89"/>
    </row>
    <row r="220" spans="10:177" s="1" customFormat="1" ht="15.75"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  <c r="EG220" s="89"/>
      <c r="EH220" s="89"/>
      <c r="EI220" s="89"/>
      <c r="EJ220" s="89"/>
      <c r="EK220" s="89"/>
      <c r="EL220" s="89"/>
      <c r="EM220" s="89"/>
      <c r="EN220" s="89"/>
      <c r="EO220" s="89"/>
      <c r="EP220" s="89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89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89"/>
      <c r="FQ220" s="89"/>
      <c r="FR220" s="89"/>
      <c r="FS220" s="89"/>
      <c r="FT220" s="89"/>
      <c r="FU220" s="89"/>
    </row>
    <row r="221" spans="10:177" s="1" customFormat="1" ht="15.75"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  <c r="EG221" s="89"/>
      <c r="EH221" s="89"/>
      <c r="EI221" s="89"/>
      <c r="EJ221" s="89"/>
      <c r="EK221" s="89"/>
      <c r="EL221" s="89"/>
      <c r="EM221" s="89"/>
      <c r="EN221" s="89"/>
      <c r="EO221" s="89"/>
      <c r="EP221" s="89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89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89"/>
      <c r="FQ221" s="89"/>
      <c r="FR221" s="89"/>
      <c r="FS221" s="89"/>
      <c r="FT221" s="89"/>
      <c r="FU221" s="89"/>
    </row>
    <row r="222" spans="10:177" s="1" customFormat="1" ht="15.75"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  <c r="DT222" s="89"/>
      <c r="DU222" s="89"/>
      <c r="DV222" s="89"/>
      <c r="DW222" s="89"/>
      <c r="DX222" s="89"/>
      <c r="DY222" s="89"/>
      <c r="DZ222" s="89"/>
      <c r="EA222" s="89"/>
      <c r="EB222" s="89"/>
      <c r="EC222" s="89"/>
      <c r="ED222" s="89"/>
      <c r="EE222" s="89"/>
      <c r="EF222" s="89"/>
      <c r="EG222" s="89"/>
      <c r="EH222" s="89"/>
      <c r="EI222" s="89"/>
      <c r="EJ222" s="89"/>
      <c r="EK222" s="89"/>
      <c r="EL222" s="89"/>
      <c r="EM222" s="89"/>
      <c r="EN222" s="89"/>
      <c r="EO222" s="89"/>
      <c r="EP222" s="89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89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89"/>
      <c r="FQ222" s="89"/>
      <c r="FR222" s="89"/>
      <c r="FS222" s="89"/>
      <c r="FT222" s="89"/>
      <c r="FU222" s="89"/>
    </row>
    <row r="223" spans="10:177" s="1" customFormat="1" ht="15.75"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  <c r="EG223" s="89"/>
      <c r="EH223" s="89"/>
      <c r="EI223" s="89"/>
      <c r="EJ223" s="89"/>
      <c r="EK223" s="89"/>
      <c r="EL223" s="89"/>
      <c r="EM223" s="89"/>
      <c r="EN223" s="89"/>
      <c r="EO223" s="89"/>
      <c r="EP223" s="89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89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89"/>
      <c r="FQ223" s="89"/>
      <c r="FR223" s="89"/>
      <c r="FS223" s="89"/>
      <c r="FT223" s="89"/>
      <c r="FU223" s="89"/>
    </row>
    <row r="224" spans="10:177" s="1" customFormat="1" ht="15.75"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  <c r="EG224" s="89"/>
      <c r="EH224" s="89"/>
      <c r="EI224" s="89"/>
      <c r="EJ224" s="89"/>
      <c r="EK224" s="89"/>
      <c r="EL224" s="89"/>
      <c r="EM224" s="89"/>
      <c r="EN224" s="89"/>
      <c r="EO224" s="89"/>
      <c r="EP224" s="89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89"/>
      <c r="FD224" s="89"/>
      <c r="FE224" s="89"/>
      <c r="FF224" s="89"/>
      <c r="FG224" s="89"/>
      <c r="FH224" s="89"/>
      <c r="FI224" s="89"/>
      <c r="FJ224" s="89"/>
      <c r="FK224" s="89"/>
      <c r="FL224" s="89"/>
      <c r="FM224" s="89"/>
      <c r="FN224" s="89"/>
      <c r="FO224" s="89"/>
      <c r="FP224" s="89"/>
      <c r="FQ224" s="89"/>
      <c r="FR224" s="89"/>
      <c r="FS224" s="89"/>
      <c r="FT224" s="89"/>
      <c r="FU224" s="89"/>
    </row>
    <row r="225" spans="10:177" s="1" customFormat="1" ht="15.75"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  <c r="DT225" s="89"/>
      <c r="DU225" s="89"/>
      <c r="DV225" s="89"/>
      <c r="DW225" s="89"/>
      <c r="DX225" s="89"/>
      <c r="DY225" s="89"/>
      <c r="DZ225" s="89"/>
      <c r="EA225" s="89"/>
      <c r="EB225" s="89"/>
      <c r="EC225" s="89"/>
      <c r="ED225" s="89"/>
      <c r="EE225" s="89"/>
      <c r="EF225" s="89"/>
      <c r="EG225" s="89"/>
      <c r="EH225" s="89"/>
      <c r="EI225" s="89"/>
      <c r="EJ225" s="89"/>
      <c r="EK225" s="89"/>
      <c r="EL225" s="89"/>
      <c r="EM225" s="89"/>
      <c r="EN225" s="89"/>
      <c r="EO225" s="89"/>
      <c r="EP225" s="89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89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89"/>
      <c r="FQ225" s="89"/>
      <c r="FR225" s="89"/>
      <c r="FS225" s="89"/>
      <c r="FT225" s="89"/>
      <c r="FU225" s="89"/>
    </row>
    <row r="226" spans="10:177" s="1" customFormat="1" ht="15.75"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89"/>
      <c r="EK226" s="89"/>
      <c r="EL226" s="89"/>
      <c r="EM226" s="89"/>
      <c r="EN226" s="89"/>
      <c r="EO226" s="89"/>
      <c r="EP226" s="89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89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89"/>
      <c r="FQ226" s="89"/>
      <c r="FR226" s="89"/>
      <c r="FS226" s="89"/>
      <c r="FT226" s="89"/>
      <c r="FU226" s="89"/>
    </row>
    <row r="227" spans="10:177" s="1" customFormat="1" ht="15.75"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  <c r="EG227" s="89"/>
      <c r="EH227" s="89"/>
      <c r="EI227" s="89"/>
      <c r="EJ227" s="89"/>
      <c r="EK227" s="89"/>
      <c r="EL227" s="89"/>
      <c r="EM227" s="89"/>
      <c r="EN227" s="89"/>
      <c r="EO227" s="89"/>
      <c r="EP227" s="89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89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89"/>
      <c r="FQ227" s="89"/>
      <c r="FR227" s="89"/>
      <c r="FS227" s="89"/>
      <c r="FT227" s="89"/>
      <c r="FU227" s="89"/>
    </row>
    <row r="228" spans="10:177" s="1" customFormat="1" ht="15.75"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  <c r="DT228" s="89"/>
      <c r="DU228" s="89"/>
      <c r="DV228" s="89"/>
      <c r="DW228" s="89"/>
      <c r="DX228" s="89"/>
      <c r="DY228" s="89"/>
      <c r="DZ228" s="89"/>
      <c r="EA228" s="89"/>
      <c r="EB228" s="89"/>
      <c r="EC228" s="89"/>
      <c r="ED228" s="89"/>
      <c r="EE228" s="89"/>
      <c r="EF228" s="89"/>
      <c r="EG228" s="89"/>
      <c r="EH228" s="89"/>
      <c r="EI228" s="89"/>
      <c r="EJ228" s="89"/>
      <c r="EK228" s="89"/>
      <c r="EL228" s="89"/>
      <c r="EM228" s="89"/>
      <c r="EN228" s="89"/>
      <c r="EO228" s="89"/>
      <c r="EP228" s="89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89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89"/>
      <c r="FQ228" s="89"/>
      <c r="FR228" s="89"/>
      <c r="FS228" s="89"/>
      <c r="FT228" s="89"/>
      <c r="FU228" s="89"/>
    </row>
    <row r="229" spans="10:177" s="1" customFormat="1" ht="15.75"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  <c r="DT229" s="89"/>
      <c r="DU229" s="89"/>
      <c r="DV229" s="89"/>
      <c r="DW229" s="89"/>
      <c r="DX229" s="89"/>
      <c r="DY229" s="89"/>
      <c r="DZ229" s="89"/>
      <c r="EA229" s="89"/>
      <c r="EB229" s="89"/>
      <c r="EC229" s="89"/>
      <c r="ED229" s="89"/>
      <c r="EE229" s="89"/>
      <c r="EF229" s="89"/>
      <c r="EG229" s="89"/>
      <c r="EH229" s="89"/>
      <c r="EI229" s="89"/>
      <c r="EJ229" s="89"/>
      <c r="EK229" s="89"/>
      <c r="EL229" s="89"/>
      <c r="EM229" s="89"/>
      <c r="EN229" s="89"/>
      <c r="EO229" s="89"/>
      <c r="EP229" s="89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89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89"/>
      <c r="FQ229" s="89"/>
      <c r="FR229" s="89"/>
      <c r="FS229" s="89"/>
      <c r="FT229" s="89"/>
      <c r="FU229" s="89"/>
    </row>
    <row r="230" spans="10:177" s="1" customFormat="1" ht="15.75"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  <c r="CR230" s="89"/>
      <c r="CS230" s="89"/>
      <c r="CT230" s="89"/>
      <c r="CU230" s="89"/>
      <c r="CV230" s="89"/>
      <c r="CW230" s="89"/>
      <c r="CX230" s="89"/>
      <c r="CY230" s="89"/>
      <c r="CZ230" s="89"/>
      <c r="DA230" s="89"/>
      <c r="DB230" s="89"/>
      <c r="DC230" s="89"/>
      <c r="DD230" s="89"/>
      <c r="DE230" s="89"/>
      <c r="DF230" s="89"/>
      <c r="DG230" s="89"/>
      <c r="DH230" s="89"/>
      <c r="DI230" s="89"/>
      <c r="DJ230" s="89"/>
      <c r="DK230" s="89"/>
      <c r="DL230" s="89"/>
      <c r="DM230" s="89"/>
      <c r="DN230" s="89"/>
      <c r="DO230" s="89"/>
      <c r="DP230" s="89"/>
      <c r="DQ230" s="89"/>
      <c r="DR230" s="89"/>
      <c r="DS230" s="89"/>
      <c r="DT230" s="89"/>
      <c r="DU230" s="89"/>
      <c r="DV230" s="89"/>
      <c r="DW230" s="89"/>
      <c r="DX230" s="89"/>
      <c r="DY230" s="89"/>
      <c r="DZ230" s="89"/>
      <c r="EA230" s="89"/>
      <c r="EB230" s="89"/>
      <c r="EC230" s="89"/>
      <c r="ED230" s="89"/>
      <c r="EE230" s="89"/>
      <c r="EF230" s="89"/>
      <c r="EG230" s="89"/>
      <c r="EH230" s="89"/>
      <c r="EI230" s="89"/>
      <c r="EJ230" s="89"/>
      <c r="EK230" s="89"/>
      <c r="EL230" s="89"/>
      <c r="EM230" s="89"/>
      <c r="EN230" s="89"/>
      <c r="EO230" s="89"/>
      <c r="EP230" s="89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89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89"/>
      <c r="FQ230" s="89"/>
      <c r="FR230" s="89"/>
      <c r="FS230" s="89"/>
      <c r="FT230" s="89"/>
      <c r="FU230" s="89"/>
    </row>
    <row r="231" spans="10:177" s="1" customFormat="1" ht="15.75"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  <c r="CR231" s="89"/>
      <c r="CS231" s="89"/>
      <c r="CT231" s="89"/>
      <c r="CU231" s="89"/>
      <c r="CV231" s="89"/>
      <c r="CW231" s="89"/>
      <c r="CX231" s="89"/>
      <c r="CY231" s="89"/>
      <c r="CZ231" s="89"/>
      <c r="DA231" s="89"/>
      <c r="DB231" s="89"/>
      <c r="DC231" s="89"/>
      <c r="DD231" s="89"/>
      <c r="DE231" s="89"/>
      <c r="DF231" s="89"/>
      <c r="DG231" s="89"/>
      <c r="DH231" s="89"/>
      <c r="DI231" s="89"/>
      <c r="DJ231" s="89"/>
      <c r="DK231" s="89"/>
      <c r="DL231" s="89"/>
      <c r="DM231" s="89"/>
      <c r="DN231" s="89"/>
      <c r="DO231" s="89"/>
      <c r="DP231" s="89"/>
      <c r="DQ231" s="89"/>
      <c r="DR231" s="89"/>
      <c r="DS231" s="89"/>
      <c r="DT231" s="89"/>
      <c r="DU231" s="89"/>
      <c r="DV231" s="89"/>
      <c r="DW231" s="89"/>
      <c r="DX231" s="89"/>
      <c r="DY231" s="89"/>
      <c r="DZ231" s="89"/>
      <c r="EA231" s="89"/>
      <c r="EB231" s="89"/>
      <c r="EC231" s="89"/>
      <c r="ED231" s="89"/>
      <c r="EE231" s="89"/>
      <c r="EF231" s="89"/>
      <c r="EG231" s="89"/>
      <c r="EH231" s="89"/>
      <c r="EI231" s="89"/>
      <c r="EJ231" s="89"/>
      <c r="EK231" s="89"/>
      <c r="EL231" s="89"/>
      <c r="EM231" s="89"/>
      <c r="EN231" s="89"/>
      <c r="EO231" s="89"/>
      <c r="EP231" s="89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89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89"/>
      <c r="FQ231" s="89"/>
      <c r="FR231" s="89"/>
      <c r="FS231" s="89"/>
      <c r="FT231" s="89"/>
      <c r="FU231" s="89"/>
    </row>
    <row r="232" spans="10:177" s="1" customFormat="1" ht="15.75"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  <c r="EG232" s="89"/>
      <c r="EH232" s="89"/>
      <c r="EI232" s="89"/>
      <c r="EJ232" s="89"/>
      <c r="EK232" s="89"/>
      <c r="EL232" s="89"/>
      <c r="EM232" s="89"/>
      <c r="EN232" s="89"/>
      <c r="EO232" s="89"/>
      <c r="EP232" s="89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89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89"/>
      <c r="FQ232" s="89"/>
      <c r="FR232" s="89"/>
      <c r="FS232" s="89"/>
      <c r="FT232" s="89"/>
      <c r="FU232" s="89"/>
    </row>
    <row r="233" spans="10:177" s="1" customFormat="1" ht="15.75"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  <c r="EG233" s="89"/>
      <c r="EH233" s="89"/>
      <c r="EI233" s="89"/>
      <c r="EJ233" s="89"/>
      <c r="EK233" s="89"/>
      <c r="EL233" s="89"/>
      <c r="EM233" s="89"/>
      <c r="EN233" s="89"/>
      <c r="EO233" s="89"/>
      <c r="EP233" s="89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89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89"/>
      <c r="FQ233" s="89"/>
      <c r="FR233" s="89"/>
      <c r="FS233" s="89"/>
      <c r="FT233" s="89"/>
      <c r="FU233" s="89"/>
    </row>
    <row r="234" spans="10:177" s="1" customFormat="1" ht="15.75"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  <c r="EG234" s="89"/>
      <c r="EH234" s="89"/>
      <c r="EI234" s="89"/>
      <c r="EJ234" s="89"/>
      <c r="EK234" s="89"/>
      <c r="EL234" s="89"/>
      <c r="EM234" s="89"/>
      <c r="EN234" s="89"/>
      <c r="EO234" s="89"/>
      <c r="EP234" s="89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89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89"/>
      <c r="FQ234" s="89"/>
      <c r="FR234" s="89"/>
      <c r="FS234" s="89"/>
      <c r="FT234" s="89"/>
      <c r="FU234" s="89"/>
    </row>
    <row r="235" spans="10:177" s="1" customFormat="1" ht="15.75"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  <c r="CR235" s="89"/>
      <c r="CS235" s="89"/>
      <c r="CT235" s="89"/>
      <c r="CU235" s="89"/>
      <c r="CV235" s="89"/>
      <c r="CW235" s="89"/>
      <c r="CX235" s="89"/>
      <c r="CY235" s="89"/>
      <c r="CZ235" s="89"/>
      <c r="DA235" s="89"/>
      <c r="DB235" s="89"/>
      <c r="DC235" s="89"/>
      <c r="DD235" s="89"/>
      <c r="DE235" s="89"/>
      <c r="DF235" s="89"/>
      <c r="DG235" s="89"/>
      <c r="DH235" s="89"/>
      <c r="DI235" s="89"/>
      <c r="DJ235" s="89"/>
      <c r="DK235" s="89"/>
      <c r="DL235" s="89"/>
      <c r="DM235" s="89"/>
      <c r="DN235" s="89"/>
      <c r="DO235" s="89"/>
      <c r="DP235" s="89"/>
      <c r="DQ235" s="89"/>
      <c r="DR235" s="89"/>
      <c r="DS235" s="89"/>
      <c r="DT235" s="89"/>
      <c r="DU235" s="89"/>
      <c r="DV235" s="89"/>
      <c r="DW235" s="89"/>
      <c r="DX235" s="89"/>
      <c r="DY235" s="89"/>
      <c r="DZ235" s="89"/>
      <c r="EA235" s="89"/>
      <c r="EB235" s="89"/>
      <c r="EC235" s="89"/>
      <c r="ED235" s="89"/>
      <c r="EE235" s="89"/>
      <c r="EF235" s="89"/>
      <c r="EG235" s="89"/>
      <c r="EH235" s="89"/>
      <c r="EI235" s="89"/>
      <c r="EJ235" s="89"/>
      <c r="EK235" s="89"/>
      <c r="EL235" s="89"/>
      <c r="EM235" s="89"/>
      <c r="EN235" s="89"/>
      <c r="EO235" s="89"/>
      <c r="EP235" s="89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89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89"/>
      <c r="FQ235" s="89"/>
      <c r="FR235" s="89"/>
      <c r="FS235" s="89"/>
      <c r="FT235" s="89"/>
      <c r="FU235" s="89"/>
    </row>
    <row r="236" spans="10:177" s="1" customFormat="1" ht="15.75"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  <c r="EG236" s="89"/>
      <c r="EH236" s="89"/>
      <c r="EI236" s="89"/>
      <c r="EJ236" s="89"/>
      <c r="EK236" s="89"/>
      <c r="EL236" s="89"/>
      <c r="EM236" s="89"/>
      <c r="EN236" s="89"/>
      <c r="EO236" s="89"/>
      <c r="EP236" s="89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89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89"/>
      <c r="FQ236" s="89"/>
      <c r="FR236" s="89"/>
      <c r="FS236" s="89"/>
      <c r="FT236" s="89"/>
      <c r="FU236" s="89"/>
    </row>
    <row r="237" spans="10:177" s="1" customFormat="1" ht="15.75"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  <c r="CR237" s="89"/>
      <c r="CS237" s="89"/>
      <c r="CT237" s="89"/>
      <c r="CU237" s="89"/>
      <c r="CV237" s="89"/>
      <c r="CW237" s="89"/>
      <c r="CX237" s="89"/>
      <c r="CY237" s="89"/>
      <c r="CZ237" s="89"/>
      <c r="DA237" s="89"/>
      <c r="DB237" s="89"/>
      <c r="DC237" s="89"/>
      <c r="DD237" s="89"/>
      <c r="DE237" s="89"/>
      <c r="DF237" s="89"/>
      <c r="DG237" s="89"/>
      <c r="DH237" s="89"/>
      <c r="DI237" s="89"/>
      <c r="DJ237" s="89"/>
      <c r="DK237" s="89"/>
      <c r="DL237" s="89"/>
      <c r="DM237" s="89"/>
      <c r="DN237" s="89"/>
      <c r="DO237" s="89"/>
      <c r="DP237" s="89"/>
      <c r="DQ237" s="89"/>
      <c r="DR237" s="89"/>
      <c r="DS237" s="89"/>
      <c r="DT237" s="89"/>
      <c r="DU237" s="89"/>
      <c r="DV237" s="89"/>
      <c r="DW237" s="89"/>
      <c r="DX237" s="89"/>
      <c r="DY237" s="89"/>
      <c r="DZ237" s="89"/>
      <c r="EA237" s="89"/>
      <c r="EB237" s="89"/>
      <c r="EC237" s="89"/>
      <c r="ED237" s="89"/>
      <c r="EE237" s="89"/>
      <c r="EF237" s="89"/>
      <c r="EG237" s="89"/>
      <c r="EH237" s="89"/>
      <c r="EI237" s="89"/>
      <c r="EJ237" s="89"/>
      <c r="EK237" s="89"/>
      <c r="EL237" s="89"/>
      <c r="EM237" s="89"/>
      <c r="EN237" s="89"/>
      <c r="EO237" s="89"/>
      <c r="EP237" s="89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89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89"/>
      <c r="FQ237" s="89"/>
      <c r="FR237" s="89"/>
      <c r="FS237" s="89"/>
      <c r="FT237" s="89"/>
      <c r="FU237" s="89"/>
    </row>
    <row r="238" spans="10:177" s="1" customFormat="1" ht="15.75"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  <c r="EL238" s="89"/>
      <c r="EM238" s="89"/>
      <c r="EN238" s="89"/>
      <c r="EO238" s="89"/>
      <c r="EP238" s="89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89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89"/>
      <c r="FQ238" s="89"/>
      <c r="FR238" s="89"/>
      <c r="FS238" s="89"/>
      <c r="FT238" s="89"/>
      <c r="FU238" s="89"/>
    </row>
    <row r="239" spans="10:177" s="1" customFormat="1" ht="15.75"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  <c r="CR239" s="89"/>
      <c r="CS239" s="89"/>
      <c r="CT239" s="89"/>
      <c r="CU239" s="89"/>
      <c r="CV239" s="89"/>
      <c r="CW239" s="89"/>
      <c r="CX239" s="89"/>
      <c r="CY239" s="89"/>
      <c r="CZ239" s="89"/>
      <c r="DA239" s="89"/>
      <c r="DB239" s="89"/>
      <c r="DC239" s="89"/>
      <c r="DD239" s="89"/>
      <c r="DE239" s="89"/>
      <c r="DF239" s="89"/>
      <c r="DG239" s="89"/>
      <c r="DH239" s="89"/>
      <c r="DI239" s="89"/>
      <c r="DJ239" s="89"/>
      <c r="DK239" s="89"/>
      <c r="DL239" s="89"/>
      <c r="DM239" s="89"/>
      <c r="DN239" s="89"/>
      <c r="DO239" s="89"/>
      <c r="DP239" s="89"/>
      <c r="DQ239" s="89"/>
      <c r="DR239" s="89"/>
      <c r="DS239" s="89"/>
      <c r="DT239" s="89"/>
      <c r="DU239" s="89"/>
      <c r="DV239" s="89"/>
      <c r="DW239" s="89"/>
      <c r="DX239" s="89"/>
      <c r="DY239" s="89"/>
      <c r="DZ239" s="89"/>
      <c r="EA239" s="89"/>
      <c r="EB239" s="89"/>
      <c r="EC239" s="89"/>
      <c r="ED239" s="89"/>
      <c r="EE239" s="89"/>
      <c r="EF239" s="89"/>
      <c r="EG239" s="89"/>
      <c r="EH239" s="89"/>
      <c r="EI239" s="89"/>
      <c r="EJ239" s="89"/>
      <c r="EK239" s="89"/>
      <c r="EL239" s="89"/>
      <c r="EM239" s="89"/>
      <c r="EN239" s="89"/>
      <c r="EO239" s="89"/>
      <c r="EP239" s="89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89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89"/>
      <c r="FQ239" s="89"/>
      <c r="FR239" s="89"/>
      <c r="FS239" s="89"/>
      <c r="FT239" s="89"/>
      <c r="FU239" s="89"/>
    </row>
    <row r="240" spans="10:177" s="1" customFormat="1" ht="15.75"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  <c r="EG240" s="89"/>
      <c r="EH240" s="89"/>
      <c r="EI240" s="89"/>
      <c r="EJ240" s="89"/>
      <c r="EK240" s="89"/>
      <c r="EL240" s="89"/>
      <c r="EM240" s="89"/>
      <c r="EN240" s="89"/>
      <c r="EO240" s="89"/>
      <c r="EP240" s="89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89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89"/>
      <c r="FQ240" s="89"/>
      <c r="FR240" s="89"/>
      <c r="FS240" s="89"/>
      <c r="FT240" s="89"/>
      <c r="FU240" s="89"/>
    </row>
    <row r="241" spans="10:177" s="1" customFormat="1" ht="15.75"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  <c r="EG241" s="89"/>
      <c r="EH241" s="89"/>
      <c r="EI241" s="89"/>
      <c r="EJ241" s="89"/>
      <c r="EK241" s="89"/>
      <c r="EL241" s="89"/>
      <c r="EM241" s="89"/>
      <c r="EN241" s="89"/>
      <c r="EO241" s="89"/>
      <c r="EP241" s="89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89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89"/>
      <c r="FQ241" s="89"/>
      <c r="FR241" s="89"/>
      <c r="FS241" s="89"/>
      <c r="FT241" s="89"/>
      <c r="FU241" s="89"/>
    </row>
    <row r="242" spans="10:177" s="1" customFormat="1" ht="15.75"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  <c r="CR242" s="89"/>
      <c r="CS242" s="89"/>
      <c r="CT242" s="89"/>
      <c r="CU242" s="89"/>
      <c r="CV242" s="89"/>
      <c r="CW242" s="89"/>
      <c r="CX242" s="89"/>
      <c r="CY242" s="89"/>
      <c r="CZ242" s="89"/>
      <c r="DA242" s="89"/>
      <c r="DB242" s="89"/>
      <c r="DC242" s="89"/>
      <c r="DD242" s="89"/>
      <c r="DE242" s="89"/>
      <c r="DF242" s="89"/>
      <c r="DG242" s="89"/>
      <c r="DH242" s="89"/>
      <c r="DI242" s="89"/>
      <c r="DJ242" s="89"/>
      <c r="DK242" s="89"/>
      <c r="DL242" s="89"/>
      <c r="DM242" s="89"/>
      <c r="DN242" s="89"/>
      <c r="DO242" s="89"/>
      <c r="DP242" s="89"/>
      <c r="DQ242" s="89"/>
      <c r="DR242" s="89"/>
      <c r="DS242" s="89"/>
      <c r="DT242" s="89"/>
      <c r="DU242" s="89"/>
      <c r="DV242" s="89"/>
      <c r="DW242" s="89"/>
      <c r="DX242" s="89"/>
      <c r="DY242" s="89"/>
      <c r="DZ242" s="89"/>
      <c r="EA242" s="89"/>
      <c r="EB242" s="89"/>
      <c r="EC242" s="89"/>
      <c r="ED242" s="89"/>
      <c r="EE242" s="89"/>
      <c r="EF242" s="89"/>
      <c r="EG242" s="89"/>
      <c r="EH242" s="89"/>
      <c r="EI242" s="89"/>
      <c r="EJ242" s="89"/>
      <c r="EK242" s="89"/>
      <c r="EL242" s="89"/>
      <c r="EM242" s="89"/>
      <c r="EN242" s="89"/>
      <c r="EO242" s="89"/>
      <c r="EP242" s="89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89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89"/>
      <c r="FQ242" s="89"/>
      <c r="FR242" s="89"/>
      <c r="FS242" s="89"/>
      <c r="FT242" s="89"/>
      <c r="FU242" s="89"/>
    </row>
    <row r="243" spans="10:177" s="1" customFormat="1" ht="15.75"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  <c r="EG243" s="89"/>
      <c r="EH243" s="89"/>
      <c r="EI243" s="89"/>
      <c r="EJ243" s="89"/>
      <c r="EK243" s="89"/>
      <c r="EL243" s="89"/>
      <c r="EM243" s="89"/>
      <c r="EN243" s="89"/>
      <c r="EO243" s="89"/>
      <c r="EP243" s="89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89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89"/>
      <c r="FQ243" s="89"/>
      <c r="FR243" s="89"/>
      <c r="FS243" s="89"/>
      <c r="FT243" s="89"/>
      <c r="FU243" s="89"/>
    </row>
    <row r="244" spans="10:177" s="1" customFormat="1" ht="15.75"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  <c r="EG244" s="89"/>
      <c r="EH244" s="89"/>
      <c r="EI244" s="89"/>
      <c r="EJ244" s="89"/>
      <c r="EK244" s="89"/>
      <c r="EL244" s="89"/>
      <c r="EM244" s="89"/>
      <c r="EN244" s="89"/>
      <c r="EO244" s="89"/>
      <c r="EP244" s="89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89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89"/>
      <c r="FQ244" s="89"/>
      <c r="FR244" s="89"/>
      <c r="FS244" s="89"/>
      <c r="FT244" s="89"/>
      <c r="FU244" s="89"/>
    </row>
    <row r="245" spans="10:177" s="1" customFormat="1" ht="15.75"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  <c r="CR245" s="89"/>
      <c r="CS245" s="89"/>
      <c r="CT245" s="89"/>
      <c r="CU245" s="89"/>
      <c r="CV245" s="89"/>
      <c r="CW245" s="89"/>
      <c r="CX245" s="89"/>
      <c r="CY245" s="89"/>
      <c r="CZ245" s="89"/>
      <c r="DA245" s="89"/>
      <c r="DB245" s="89"/>
      <c r="DC245" s="89"/>
      <c r="DD245" s="89"/>
      <c r="DE245" s="89"/>
      <c r="DF245" s="89"/>
      <c r="DG245" s="89"/>
      <c r="DH245" s="89"/>
      <c r="DI245" s="89"/>
      <c r="DJ245" s="89"/>
      <c r="DK245" s="89"/>
      <c r="DL245" s="89"/>
      <c r="DM245" s="89"/>
      <c r="DN245" s="89"/>
      <c r="DO245" s="89"/>
      <c r="DP245" s="89"/>
      <c r="DQ245" s="89"/>
      <c r="DR245" s="89"/>
      <c r="DS245" s="89"/>
      <c r="DT245" s="89"/>
      <c r="DU245" s="89"/>
      <c r="DV245" s="89"/>
      <c r="DW245" s="89"/>
      <c r="DX245" s="89"/>
      <c r="DY245" s="89"/>
      <c r="DZ245" s="89"/>
      <c r="EA245" s="89"/>
      <c r="EB245" s="89"/>
      <c r="EC245" s="89"/>
      <c r="ED245" s="89"/>
      <c r="EE245" s="89"/>
      <c r="EF245" s="89"/>
      <c r="EG245" s="89"/>
      <c r="EH245" s="89"/>
      <c r="EI245" s="89"/>
      <c r="EJ245" s="89"/>
      <c r="EK245" s="89"/>
      <c r="EL245" s="89"/>
      <c r="EM245" s="89"/>
      <c r="EN245" s="89"/>
      <c r="EO245" s="89"/>
      <c r="EP245" s="89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89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89"/>
      <c r="FQ245" s="89"/>
      <c r="FR245" s="89"/>
      <c r="FS245" s="89"/>
      <c r="FT245" s="89"/>
      <c r="FU245" s="89"/>
    </row>
    <row r="246" spans="10:177" s="1" customFormat="1" ht="15.75"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  <c r="EG246" s="89"/>
      <c r="EH246" s="89"/>
      <c r="EI246" s="89"/>
      <c r="EJ246" s="89"/>
      <c r="EK246" s="89"/>
      <c r="EL246" s="89"/>
      <c r="EM246" s="89"/>
      <c r="EN246" s="89"/>
      <c r="EO246" s="89"/>
      <c r="EP246" s="89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89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89"/>
      <c r="FQ246" s="89"/>
      <c r="FR246" s="89"/>
      <c r="FS246" s="89"/>
      <c r="FT246" s="89"/>
      <c r="FU246" s="89"/>
    </row>
    <row r="247" spans="10:177" s="1" customFormat="1" ht="15.75"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  <c r="EG247" s="89"/>
      <c r="EH247" s="89"/>
      <c r="EI247" s="89"/>
      <c r="EJ247" s="89"/>
      <c r="EK247" s="89"/>
      <c r="EL247" s="89"/>
      <c r="EM247" s="89"/>
      <c r="EN247" s="89"/>
      <c r="EO247" s="89"/>
      <c r="EP247" s="89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89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89"/>
      <c r="FQ247" s="89"/>
      <c r="FR247" s="89"/>
      <c r="FS247" s="89"/>
      <c r="FT247" s="89"/>
      <c r="FU247" s="89"/>
    </row>
    <row r="248" spans="10:177" s="1" customFormat="1" ht="15.75"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  <c r="CR248" s="89"/>
      <c r="CS248" s="89"/>
      <c r="CT248" s="89"/>
      <c r="CU248" s="89"/>
      <c r="CV248" s="89"/>
      <c r="CW248" s="89"/>
      <c r="CX248" s="89"/>
      <c r="CY248" s="89"/>
      <c r="CZ248" s="89"/>
      <c r="DA248" s="89"/>
      <c r="DB248" s="89"/>
      <c r="DC248" s="89"/>
      <c r="DD248" s="89"/>
      <c r="DE248" s="89"/>
      <c r="DF248" s="89"/>
      <c r="DG248" s="89"/>
      <c r="DH248" s="89"/>
      <c r="DI248" s="89"/>
      <c r="DJ248" s="89"/>
      <c r="DK248" s="89"/>
      <c r="DL248" s="89"/>
      <c r="DM248" s="89"/>
      <c r="DN248" s="89"/>
      <c r="DO248" s="89"/>
      <c r="DP248" s="89"/>
      <c r="DQ248" s="89"/>
      <c r="DR248" s="89"/>
      <c r="DS248" s="89"/>
      <c r="DT248" s="89"/>
      <c r="DU248" s="89"/>
      <c r="DV248" s="89"/>
      <c r="DW248" s="89"/>
      <c r="DX248" s="89"/>
      <c r="DY248" s="89"/>
      <c r="DZ248" s="89"/>
      <c r="EA248" s="89"/>
      <c r="EB248" s="89"/>
      <c r="EC248" s="89"/>
      <c r="ED248" s="89"/>
      <c r="EE248" s="89"/>
      <c r="EF248" s="89"/>
      <c r="EG248" s="89"/>
      <c r="EH248" s="89"/>
      <c r="EI248" s="89"/>
      <c r="EJ248" s="89"/>
      <c r="EK248" s="89"/>
      <c r="EL248" s="89"/>
      <c r="EM248" s="89"/>
      <c r="EN248" s="89"/>
      <c r="EO248" s="89"/>
      <c r="EP248" s="89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89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89"/>
      <c r="FQ248" s="89"/>
      <c r="FR248" s="89"/>
      <c r="FS248" s="89"/>
      <c r="FT248" s="89"/>
      <c r="FU248" s="89"/>
    </row>
    <row r="249" spans="10:177" s="1" customFormat="1" ht="15.75"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  <c r="CR249" s="89"/>
      <c r="CS249" s="89"/>
      <c r="CT249" s="89"/>
      <c r="CU249" s="89"/>
      <c r="CV249" s="89"/>
      <c r="CW249" s="89"/>
      <c r="CX249" s="89"/>
      <c r="CY249" s="89"/>
      <c r="CZ249" s="89"/>
      <c r="DA249" s="89"/>
      <c r="DB249" s="89"/>
      <c r="DC249" s="89"/>
      <c r="DD249" s="89"/>
      <c r="DE249" s="89"/>
      <c r="DF249" s="89"/>
      <c r="DG249" s="89"/>
      <c r="DH249" s="89"/>
      <c r="DI249" s="89"/>
      <c r="DJ249" s="89"/>
      <c r="DK249" s="89"/>
      <c r="DL249" s="89"/>
      <c r="DM249" s="89"/>
      <c r="DN249" s="89"/>
      <c r="DO249" s="89"/>
      <c r="DP249" s="89"/>
      <c r="DQ249" s="89"/>
      <c r="DR249" s="89"/>
      <c r="DS249" s="89"/>
      <c r="DT249" s="89"/>
      <c r="DU249" s="89"/>
      <c r="DV249" s="89"/>
      <c r="DW249" s="89"/>
      <c r="DX249" s="89"/>
      <c r="DY249" s="89"/>
      <c r="DZ249" s="89"/>
      <c r="EA249" s="89"/>
      <c r="EB249" s="89"/>
      <c r="EC249" s="89"/>
      <c r="ED249" s="89"/>
      <c r="EE249" s="89"/>
      <c r="EF249" s="89"/>
      <c r="EG249" s="89"/>
      <c r="EH249" s="89"/>
      <c r="EI249" s="89"/>
      <c r="EJ249" s="89"/>
      <c r="EK249" s="89"/>
      <c r="EL249" s="89"/>
      <c r="EM249" s="89"/>
      <c r="EN249" s="89"/>
      <c r="EO249" s="89"/>
      <c r="EP249" s="89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89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89"/>
      <c r="FQ249" s="89"/>
      <c r="FR249" s="89"/>
      <c r="FS249" s="89"/>
      <c r="FT249" s="89"/>
      <c r="FU249" s="89"/>
    </row>
    <row r="250" spans="10:177" s="1" customFormat="1" ht="15.75"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  <c r="EG250" s="89"/>
      <c r="EH250" s="89"/>
      <c r="EI250" s="89"/>
      <c r="EJ250" s="89"/>
      <c r="EK250" s="89"/>
      <c r="EL250" s="89"/>
      <c r="EM250" s="89"/>
      <c r="EN250" s="89"/>
      <c r="EO250" s="89"/>
      <c r="EP250" s="89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89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89"/>
      <c r="FQ250" s="89"/>
      <c r="FR250" s="89"/>
      <c r="FS250" s="89"/>
      <c r="FT250" s="89"/>
      <c r="FU250" s="89"/>
    </row>
    <row r="251" spans="10:177" s="1" customFormat="1" ht="15.75"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  <c r="EG251" s="89"/>
      <c r="EH251" s="89"/>
      <c r="EI251" s="89"/>
      <c r="EJ251" s="89"/>
      <c r="EK251" s="89"/>
      <c r="EL251" s="89"/>
      <c r="EM251" s="89"/>
      <c r="EN251" s="89"/>
      <c r="EO251" s="89"/>
      <c r="EP251" s="89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89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89"/>
      <c r="FQ251" s="89"/>
      <c r="FR251" s="89"/>
      <c r="FS251" s="89"/>
      <c r="FT251" s="89"/>
      <c r="FU251" s="89"/>
    </row>
    <row r="252" spans="10:177" s="1" customFormat="1" ht="15.75"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  <c r="CR252" s="89"/>
      <c r="CS252" s="89"/>
      <c r="CT252" s="89"/>
      <c r="CU252" s="89"/>
      <c r="CV252" s="89"/>
      <c r="CW252" s="89"/>
      <c r="CX252" s="89"/>
      <c r="CY252" s="89"/>
      <c r="CZ252" s="89"/>
      <c r="DA252" s="89"/>
      <c r="DB252" s="89"/>
      <c r="DC252" s="89"/>
      <c r="DD252" s="89"/>
      <c r="DE252" s="89"/>
      <c r="DF252" s="89"/>
      <c r="DG252" s="89"/>
      <c r="DH252" s="89"/>
      <c r="DI252" s="89"/>
      <c r="DJ252" s="89"/>
      <c r="DK252" s="89"/>
      <c r="DL252" s="89"/>
      <c r="DM252" s="89"/>
      <c r="DN252" s="89"/>
      <c r="DO252" s="89"/>
      <c r="DP252" s="89"/>
      <c r="DQ252" s="89"/>
      <c r="DR252" s="89"/>
      <c r="DS252" s="89"/>
      <c r="DT252" s="89"/>
      <c r="DU252" s="89"/>
      <c r="DV252" s="89"/>
      <c r="DW252" s="89"/>
      <c r="DX252" s="89"/>
      <c r="DY252" s="89"/>
      <c r="DZ252" s="89"/>
      <c r="EA252" s="89"/>
      <c r="EB252" s="89"/>
      <c r="EC252" s="89"/>
      <c r="ED252" s="89"/>
      <c r="EE252" s="89"/>
      <c r="EF252" s="89"/>
      <c r="EG252" s="89"/>
      <c r="EH252" s="89"/>
      <c r="EI252" s="89"/>
      <c r="EJ252" s="89"/>
      <c r="EK252" s="89"/>
      <c r="EL252" s="89"/>
      <c r="EM252" s="89"/>
      <c r="EN252" s="89"/>
      <c r="EO252" s="89"/>
      <c r="EP252" s="89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89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89"/>
      <c r="FQ252" s="89"/>
      <c r="FR252" s="89"/>
      <c r="FS252" s="89"/>
      <c r="FT252" s="89"/>
      <c r="FU252" s="89"/>
    </row>
    <row r="253" spans="10:177" s="1" customFormat="1" ht="15.75"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  <c r="EG253" s="89"/>
      <c r="EH253" s="89"/>
      <c r="EI253" s="89"/>
      <c r="EJ253" s="89"/>
      <c r="EK253" s="89"/>
      <c r="EL253" s="89"/>
      <c r="EM253" s="89"/>
      <c r="EN253" s="89"/>
      <c r="EO253" s="89"/>
      <c r="EP253" s="89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89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89"/>
      <c r="FQ253" s="89"/>
      <c r="FR253" s="89"/>
      <c r="FS253" s="89"/>
      <c r="FT253" s="89"/>
      <c r="FU253" s="89"/>
    </row>
    <row r="254" spans="10:177" s="1" customFormat="1" ht="15.75"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  <c r="EG254" s="89"/>
      <c r="EH254" s="89"/>
      <c r="EI254" s="89"/>
      <c r="EJ254" s="89"/>
      <c r="EK254" s="89"/>
      <c r="EL254" s="89"/>
      <c r="EM254" s="89"/>
      <c r="EN254" s="89"/>
      <c r="EO254" s="89"/>
      <c r="EP254" s="89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89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89"/>
      <c r="FQ254" s="89"/>
      <c r="FR254" s="89"/>
      <c r="FS254" s="89"/>
      <c r="FT254" s="89"/>
      <c r="FU254" s="89"/>
    </row>
    <row r="255" spans="10:177" s="1" customFormat="1" ht="15.75"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  <c r="CR255" s="89"/>
      <c r="CS255" s="89"/>
      <c r="CT255" s="89"/>
      <c r="CU255" s="89"/>
      <c r="CV255" s="89"/>
      <c r="CW255" s="89"/>
      <c r="CX255" s="89"/>
      <c r="CY255" s="89"/>
      <c r="CZ255" s="89"/>
      <c r="DA255" s="89"/>
      <c r="DB255" s="89"/>
      <c r="DC255" s="89"/>
      <c r="DD255" s="89"/>
      <c r="DE255" s="89"/>
      <c r="DF255" s="89"/>
      <c r="DG255" s="89"/>
      <c r="DH255" s="89"/>
      <c r="DI255" s="89"/>
      <c r="DJ255" s="89"/>
      <c r="DK255" s="89"/>
      <c r="DL255" s="89"/>
      <c r="DM255" s="89"/>
      <c r="DN255" s="89"/>
      <c r="DO255" s="89"/>
      <c r="DP255" s="89"/>
      <c r="DQ255" s="89"/>
      <c r="DR255" s="89"/>
      <c r="DS255" s="89"/>
      <c r="DT255" s="89"/>
      <c r="DU255" s="89"/>
      <c r="DV255" s="89"/>
      <c r="DW255" s="89"/>
      <c r="DX255" s="89"/>
      <c r="DY255" s="89"/>
      <c r="DZ255" s="89"/>
      <c r="EA255" s="89"/>
      <c r="EB255" s="89"/>
      <c r="EC255" s="89"/>
      <c r="ED255" s="89"/>
      <c r="EE255" s="89"/>
      <c r="EF255" s="89"/>
      <c r="EG255" s="89"/>
      <c r="EH255" s="89"/>
      <c r="EI255" s="89"/>
      <c r="EJ255" s="89"/>
      <c r="EK255" s="89"/>
      <c r="EL255" s="89"/>
      <c r="EM255" s="89"/>
      <c r="EN255" s="89"/>
      <c r="EO255" s="89"/>
      <c r="EP255" s="89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89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89"/>
      <c r="FQ255" s="89"/>
      <c r="FR255" s="89"/>
      <c r="FS255" s="89"/>
      <c r="FT255" s="89"/>
      <c r="FU255" s="89"/>
    </row>
    <row r="256" spans="10:177" s="1" customFormat="1" ht="15.75"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  <c r="CR256" s="89"/>
      <c r="CS256" s="89"/>
      <c r="CT256" s="89"/>
      <c r="CU256" s="89"/>
      <c r="CV256" s="89"/>
      <c r="CW256" s="89"/>
      <c r="CX256" s="89"/>
      <c r="CY256" s="89"/>
      <c r="CZ256" s="89"/>
      <c r="DA256" s="89"/>
      <c r="DB256" s="89"/>
      <c r="DC256" s="89"/>
      <c r="DD256" s="89"/>
      <c r="DE256" s="89"/>
      <c r="DF256" s="89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  <c r="EB256" s="89"/>
      <c r="EC256" s="89"/>
      <c r="ED256" s="89"/>
      <c r="EE256" s="89"/>
      <c r="EF256" s="89"/>
      <c r="EG256" s="89"/>
      <c r="EH256" s="89"/>
      <c r="EI256" s="89"/>
      <c r="EJ256" s="89"/>
      <c r="EK256" s="89"/>
      <c r="EL256" s="89"/>
      <c r="EM256" s="89"/>
      <c r="EN256" s="89"/>
      <c r="EO256" s="89"/>
      <c r="EP256" s="89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89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89"/>
      <c r="FQ256" s="89"/>
      <c r="FR256" s="89"/>
      <c r="FS256" s="89"/>
      <c r="FT256" s="89"/>
      <c r="FU256" s="89"/>
    </row>
    <row r="257" spans="10:177" s="1" customFormat="1" ht="15.75"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  <c r="CR257" s="89"/>
      <c r="CS257" s="89"/>
      <c r="CT257" s="89"/>
      <c r="CU257" s="89"/>
      <c r="CV257" s="89"/>
      <c r="CW257" s="89"/>
      <c r="CX257" s="89"/>
      <c r="CY257" s="89"/>
      <c r="CZ257" s="89"/>
      <c r="DA257" s="89"/>
      <c r="DB257" s="89"/>
      <c r="DC257" s="89"/>
      <c r="DD257" s="89"/>
      <c r="DE257" s="89"/>
      <c r="DF257" s="89"/>
      <c r="DG257" s="89"/>
      <c r="DH257" s="89"/>
      <c r="DI257" s="89"/>
      <c r="DJ257" s="89"/>
      <c r="DK257" s="89"/>
      <c r="DL257" s="89"/>
      <c r="DM257" s="89"/>
      <c r="DN257" s="89"/>
      <c r="DO257" s="89"/>
      <c r="DP257" s="89"/>
      <c r="DQ257" s="89"/>
      <c r="DR257" s="89"/>
      <c r="DS257" s="89"/>
      <c r="DT257" s="89"/>
      <c r="DU257" s="89"/>
      <c r="DV257" s="89"/>
      <c r="DW257" s="89"/>
      <c r="DX257" s="89"/>
      <c r="DY257" s="89"/>
      <c r="DZ257" s="89"/>
      <c r="EA257" s="89"/>
      <c r="EB257" s="89"/>
      <c r="EC257" s="89"/>
      <c r="ED257" s="89"/>
      <c r="EE257" s="89"/>
      <c r="EF257" s="89"/>
      <c r="EG257" s="89"/>
      <c r="EH257" s="89"/>
      <c r="EI257" s="89"/>
      <c r="EJ257" s="89"/>
      <c r="EK257" s="89"/>
      <c r="EL257" s="89"/>
      <c r="EM257" s="89"/>
      <c r="EN257" s="89"/>
      <c r="EO257" s="89"/>
      <c r="EP257" s="89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89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89"/>
      <c r="FQ257" s="89"/>
      <c r="FR257" s="89"/>
      <c r="FS257" s="89"/>
      <c r="FT257" s="89"/>
      <c r="FU257" s="89"/>
    </row>
    <row r="258" spans="10:177" s="1" customFormat="1" ht="15.75"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  <c r="CR258" s="89"/>
      <c r="CS258" s="89"/>
      <c r="CT258" s="89"/>
      <c r="CU258" s="89"/>
      <c r="CV258" s="89"/>
      <c r="CW258" s="89"/>
      <c r="CX258" s="89"/>
      <c r="CY258" s="89"/>
      <c r="CZ258" s="89"/>
      <c r="DA258" s="89"/>
      <c r="DB258" s="89"/>
      <c r="DC258" s="89"/>
      <c r="DD258" s="89"/>
      <c r="DE258" s="89"/>
      <c r="DF258" s="89"/>
      <c r="DG258" s="89"/>
      <c r="DH258" s="89"/>
      <c r="DI258" s="89"/>
      <c r="DJ258" s="89"/>
      <c r="DK258" s="89"/>
      <c r="DL258" s="89"/>
      <c r="DM258" s="89"/>
      <c r="DN258" s="89"/>
      <c r="DO258" s="89"/>
      <c r="DP258" s="89"/>
      <c r="DQ258" s="89"/>
      <c r="DR258" s="89"/>
      <c r="DS258" s="89"/>
      <c r="DT258" s="89"/>
      <c r="DU258" s="89"/>
      <c r="DV258" s="89"/>
      <c r="DW258" s="89"/>
      <c r="DX258" s="89"/>
      <c r="DY258" s="89"/>
      <c r="DZ258" s="89"/>
      <c r="EA258" s="89"/>
      <c r="EB258" s="89"/>
      <c r="EC258" s="89"/>
      <c r="ED258" s="89"/>
      <c r="EE258" s="89"/>
      <c r="EF258" s="89"/>
      <c r="EG258" s="89"/>
      <c r="EH258" s="89"/>
      <c r="EI258" s="89"/>
      <c r="EJ258" s="89"/>
      <c r="EK258" s="89"/>
      <c r="EL258" s="89"/>
      <c r="EM258" s="89"/>
      <c r="EN258" s="89"/>
      <c r="EO258" s="89"/>
      <c r="EP258" s="89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89"/>
      <c r="FD258" s="89"/>
      <c r="FE258" s="89"/>
      <c r="FF258" s="89"/>
      <c r="FG258" s="89"/>
      <c r="FH258" s="89"/>
      <c r="FI258" s="89"/>
      <c r="FJ258" s="89"/>
      <c r="FK258" s="89"/>
      <c r="FL258" s="89"/>
      <c r="FM258" s="89"/>
      <c r="FN258" s="89"/>
      <c r="FO258" s="89"/>
      <c r="FP258" s="89"/>
      <c r="FQ258" s="89"/>
      <c r="FR258" s="89"/>
      <c r="FS258" s="89"/>
      <c r="FT258" s="89"/>
      <c r="FU258" s="89"/>
    </row>
    <row r="259" spans="10:177" s="1" customFormat="1" ht="15.75"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  <c r="CR259" s="89"/>
      <c r="CS259" s="89"/>
      <c r="CT259" s="89"/>
      <c r="CU259" s="89"/>
      <c r="CV259" s="89"/>
      <c r="CW259" s="89"/>
      <c r="CX259" s="89"/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/>
      <c r="DJ259" s="89"/>
      <c r="DK259" s="89"/>
      <c r="DL259" s="89"/>
      <c r="DM259" s="89"/>
      <c r="DN259" s="89"/>
      <c r="DO259" s="89"/>
      <c r="DP259" s="89"/>
      <c r="DQ259" s="89"/>
      <c r="DR259" s="89"/>
      <c r="DS259" s="89"/>
      <c r="DT259" s="89"/>
      <c r="DU259" s="89"/>
      <c r="DV259" s="89"/>
      <c r="DW259" s="89"/>
      <c r="DX259" s="89"/>
      <c r="DY259" s="89"/>
      <c r="DZ259" s="89"/>
      <c r="EA259" s="89"/>
      <c r="EB259" s="89"/>
      <c r="EC259" s="89"/>
      <c r="ED259" s="89"/>
      <c r="EE259" s="89"/>
      <c r="EF259" s="89"/>
      <c r="EG259" s="89"/>
      <c r="EH259" s="89"/>
      <c r="EI259" s="89"/>
      <c r="EJ259" s="89"/>
      <c r="EK259" s="89"/>
      <c r="EL259" s="89"/>
      <c r="EM259" s="89"/>
      <c r="EN259" s="89"/>
      <c r="EO259" s="89"/>
      <c r="EP259" s="89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89"/>
      <c r="FD259" s="89"/>
      <c r="FE259" s="89"/>
      <c r="FF259" s="89"/>
      <c r="FG259" s="89"/>
      <c r="FH259" s="89"/>
      <c r="FI259" s="89"/>
      <c r="FJ259" s="89"/>
      <c r="FK259" s="89"/>
      <c r="FL259" s="89"/>
      <c r="FM259" s="89"/>
      <c r="FN259" s="89"/>
      <c r="FO259" s="89"/>
      <c r="FP259" s="89"/>
      <c r="FQ259" s="89"/>
      <c r="FR259" s="89"/>
      <c r="FS259" s="89"/>
      <c r="FT259" s="89"/>
      <c r="FU259" s="89"/>
    </row>
    <row r="260" spans="10:177" s="1" customFormat="1" ht="15.75"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  <c r="CR260" s="89"/>
      <c r="CS260" s="89"/>
      <c r="CT260" s="89"/>
      <c r="CU260" s="89"/>
      <c r="CV260" s="89"/>
      <c r="CW260" s="89"/>
      <c r="CX260" s="89"/>
      <c r="CY260" s="89"/>
      <c r="CZ260" s="89"/>
      <c r="DA260" s="89"/>
      <c r="DB260" s="89"/>
      <c r="DC260" s="89"/>
      <c r="DD260" s="89"/>
      <c r="DE260" s="89"/>
      <c r="DF260" s="89"/>
      <c r="DG260" s="89"/>
      <c r="DH260" s="89"/>
      <c r="DI260" s="89"/>
      <c r="DJ260" s="89"/>
      <c r="DK260" s="89"/>
      <c r="DL260" s="89"/>
      <c r="DM260" s="89"/>
      <c r="DN260" s="89"/>
      <c r="DO260" s="89"/>
      <c r="DP260" s="89"/>
      <c r="DQ260" s="89"/>
      <c r="DR260" s="89"/>
      <c r="DS260" s="89"/>
      <c r="DT260" s="89"/>
      <c r="DU260" s="89"/>
      <c r="DV260" s="89"/>
      <c r="DW260" s="89"/>
      <c r="DX260" s="89"/>
      <c r="DY260" s="89"/>
      <c r="DZ260" s="89"/>
      <c r="EA260" s="89"/>
      <c r="EB260" s="89"/>
      <c r="EC260" s="89"/>
      <c r="ED260" s="89"/>
      <c r="EE260" s="89"/>
      <c r="EF260" s="89"/>
      <c r="EG260" s="89"/>
      <c r="EH260" s="89"/>
      <c r="EI260" s="89"/>
      <c r="EJ260" s="89"/>
      <c r="EK260" s="89"/>
      <c r="EL260" s="89"/>
      <c r="EM260" s="89"/>
      <c r="EN260" s="89"/>
      <c r="EO260" s="89"/>
      <c r="EP260" s="89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89"/>
      <c r="FD260" s="89"/>
      <c r="FE260" s="89"/>
      <c r="FF260" s="89"/>
      <c r="FG260" s="89"/>
      <c r="FH260" s="89"/>
      <c r="FI260" s="89"/>
      <c r="FJ260" s="89"/>
      <c r="FK260" s="89"/>
      <c r="FL260" s="89"/>
      <c r="FM260" s="89"/>
      <c r="FN260" s="89"/>
      <c r="FO260" s="89"/>
      <c r="FP260" s="89"/>
      <c r="FQ260" s="89"/>
      <c r="FR260" s="89"/>
      <c r="FS260" s="89"/>
      <c r="FT260" s="89"/>
      <c r="FU260" s="89"/>
    </row>
    <row r="261" spans="10:177" s="1" customFormat="1" ht="15.75"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  <c r="CR261" s="89"/>
      <c r="CS261" s="89"/>
      <c r="CT261" s="89"/>
      <c r="CU261" s="89"/>
      <c r="CV261" s="89"/>
      <c r="CW261" s="89"/>
      <c r="CX261" s="89"/>
      <c r="CY261" s="89"/>
      <c r="CZ261" s="89"/>
      <c r="DA261" s="89"/>
      <c r="DB261" s="89"/>
      <c r="DC261" s="89"/>
      <c r="DD261" s="89"/>
      <c r="DE261" s="89"/>
      <c r="DF261" s="89"/>
      <c r="DG261" s="89"/>
      <c r="DH261" s="89"/>
      <c r="DI261" s="89"/>
      <c r="DJ261" s="89"/>
      <c r="DK261" s="89"/>
      <c r="DL261" s="89"/>
      <c r="DM261" s="89"/>
      <c r="DN261" s="89"/>
      <c r="DO261" s="89"/>
      <c r="DP261" s="89"/>
      <c r="DQ261" s="89"/>
      <c r="DR261" s="89"/>
      <c r="DS261" s="89"/>
      <c r="DT261" s="89"/>
      <c r="DU261" s="89"/>
      <c r="DV261" s="89"/>
      <c r="DW261" s="89"/>
      <c r="DX261" s="89"/>
      <c r="DY261" s="89"/>
      <c r="DZ261" s="89"/>
      <c r="EA261" s="89"/>
      <c r="EB261" s="89"/>
      <c r="EC261" s="89"/>
      <c r="ED261" s="89"/>
      <c r="EE261" s="89"/>
      <c r="EF261" s="89"/>
      <c r="EG261" s="89"/>
      <c r="EH261" s="89"/>
      <c r="EI261" s="89"/>
      <c r="EJ261" s="89"/>
      <c r="EK261" s="89"/>
      <c r="EL261" s="89"/>
      <c r="EM261" s="89"/>
      <c r="EN261" s="89"/>
      <c r="EO261" s="89"/>
      <c r="EP261" s="89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89"/>
      <c r="FD261" s="89"/>
      <c r="FE261" s="89"/>
      <c r="FF261" s="89"/>
      <c r="FG261" s="89"/>
      <c r="FH261" s="89"/>
      <c r="FI261" s="89"/>
      <c r="FJ261" s="89"/>
      <c r="FK261" s="89"/>
      <c r="FL261" s="89"/>
      <c r="FM261" s="89"/>
      <c r="FN261" s="89"/>
      <c r="FO261" s="89"/>
      <c r="FP261" s="89"/>
      <c r="FQ261" s="89"/>
      <c r="FR261" s="89"/>
      <c r="FS261" s="89"/>
      <c r="FT261" s="89"/>
      <c r="FU261" s="89"/>
    </row>
    <row r="262" spans="10:177" s="1" customFormat="1" ht="15.75"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  <c r="CR262" s="89"/>
      <c r="CS262" s="89"/>
      <c r="CT262" s="89"/>
      <c r="CU262" s="89"/>
      <c r="CV262" s="89"/>
      <c r="CW262" s="89"/>
      <c r="CX262" s="89"/>
      <c r="CY262" s="89"/>
      <c r="CZ262" s="89"/>
      <c r="DA262" s="89"/>
      <c r="DB262" s="89"/>
      <c r="DC262" s="89"/>
      <c r="DD262" s="89"/>
      <c r="DE262" s="89"/>
      <c r="DF262" s="89"/>
      <c r="DG262" s="89"/>
      <c r="DH262" s="89"/>
      <c r="DI262" s="89"/>
      <c r="DJ262" s="89"/>
      <c r="DK262" s="89"/>
      <c r="DL262" s="89"/>
      <c r="DM262" s="89"/>
      <c r="DN262" s="89"/>
      <c r="DO262" s="89"/>
      <c r="DP262" s="89"/>
      <c r="DQ262" s="89"/>
      <c r="DR262" s="89"/>
      <c r="DS262" s="89"/>
      <c r="DT262" s="89"/>
      <c r="DU262" s="89"/>
      <c r="DV262" s="89"/>
      <c r="DW262" s="89"/>
      <c r="DX262" s="89"/>
      <c r="DY262" s="89"/>
      <c r="DZ262" s="89"/>
      <c r="EA262" s="89"/>
      <c r="EB262" s="89"/>
      <c r="EC262" s="89"/>
      <c r="ED262" s="89"/>
      <c r="EE262" s="89"/>
      <c r="EF262" s="89"/>
      <c r="EG262" s="89"/>
      <c r="EH262" s="89"/>
      <c r="EI262" s="89"/>
      <c r="EJ262" s="89"/>
      <c r="EK262" s="89"/>
      <c r="EL262" s="89"/>
      <c r="EM262" s="89"/>
      <c r="EN262" s="89"/>
      <c r="EO262" s="89"/>
      <c r="EP262" s="89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89"/>
      <c r="FD262" s="89"/>
      <c r="FE262" s="89"/>
      <c r="FF262" s="89"/>
      <c r="FG262" s="89"/>
      <c r="FH262" s="89"/>
      <c r="FI262" s="89"/>
      <c r="FJ262" s="89"/>
      <c r="FK262" s="89"/>
      <c r="FL262" s="89"/>
      <c r="FM262" s="89"/>
      <c r="FN262" s="89"/>
      <c r="FO262" s="89"/>
      <c r="FP262" s="89"/>
      <c r="FQ262" s="89"/>
      <c r="FR262" s="89"/>
      <c r="FS262" s="89"/>
      <c r="FT262" s="89"/>
      <c r="FU262" s="89"/>
    </row>
    <row r="263" spans="10:177" s="1" customFormat="1" ht="15.75"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  <c r="CR263" s="89"/>
      <c r="CS263" s="89"/>
      <c r="CT263" s="89"/>
      <c r="CU263" s="89"/>
      <c r="CV263" s="89"/>
      <c r="CW263" s="89"/>
      <c r="CX263" s="89"/>
      <c r="CY263" s="89"/>
      <c r="CZ263" s="89"/>
      <c r="DA263" s="89"/>
      <c r="DB263" s="89"/>
      <c r="DC263" s="89"/>
      <c r="DD263" s="89"/>
      <c r="DE263" s="89"/>
      <c r="DF263" s="89"/>
      <c r="DG263" s="89"/>
      <c r="DH263" s="89"/>
      <c r="DI263" s="89"/>
      <c r="DJ263" s="89"/>
      <c r="DK263" s="89"/>
      <c r="DL263" s="89"/>
      <c r="DM263" s="89"/>
      <c r="DN263" s="89"/>
      <c r="DO263" s="89"/>
      <c r="DP263" s="89"/>
      <c r="DQ263" s="89"/>
      <c r="DR263" s="89"/>
      <c r="DS263" s="89"/>
      <c r="DT263" s="89"/>
      <c r="DU263" s="89"/>
      <c r="DV263" s="89"/>
      <c r="DW263" s="89"/>
      <c r="DX263" s="89"/>
      <c r="DY263" s="89"/>
      <c r="DZ263" s="89"/>
      <c r="EA263" s="89"/>
      <c r="EB263" s="89"/>
      <c r="EC263" s="89"/>
      <c r="ED263" s="89"/>
      <c r="EE263" s="89"/>
      <c r="EF263" s="89"/>
      <c r="EG263" s="89"/>
      <c r="EH263" s="89"/>
      <c r="EI263" s="89"/>
      <c r="EJ263" s="89"/>
      <c r="EK263" s="89"/>
      <c r="EL263" s="89"/>
      <c r="EM263" s="89"/>
      <c r="EN263" s="89"/>
      <c r="EO263" s="89"/>
      <c r="EP263" s="89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89"/>
      <c r="FD263" s="89"/>
      <c r="FE263" s="89"/>
      <c r="FF263" s="89"/>
      <c r="FG263" s="89"/>
      <c r="FH263" s="89"/>
      <c r="FI263" s="89"/>
      <c r="FJ263" s="89"/>
      <c r="FK263" s="89"/>
      <c r="FL263" s="89"/>
      <c r="FM263" s="89"/>
      <c r="FN263" s="89"/>
      <c r="FO263" s="89"/>
      <c r="FP263" s="89"/>
      <c r="FQ263" s="89"/>
      <c r="FR263" s="89"/>
      <c r="FS263" s="89"/>
      <c r="FT263" s="89"/>
      <c r="FU263" s="89"/>
    </row>
    <row r="264" spans="10:177" s="1" customFormat="1" ht="15.75"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  <c r="CR264" s="89"/>
      <c r="CS264" s="89"/>
      <c r="CT264" s="89"/>
      <c r="CU264" s="89"/>
      <c r="CV264" s="89"/>
      <c r="CW264" s="89"/>
      <c r="CX264" s="89"/>
      <c r="CY264" s="89"/>
      <c r="CZ264" s="89"/>
      <c r="DA264" s="89"/>
      <c r="DB264" s="89"/>
      <c r="DC264" s="89"/>
      <c r="DD264" s="89"/>
      <c r="DE264" s="89"/>
      <c r="DF264" s="89"/>
      <c r="DG264" s="89"/>
      <c r="DH264" s="89"/>
      <c r="DI264" s="89"/>
      <c r="DJ264" s="89"/>
      <c r="DK264" s="89"/>
      <c r="DL264" s="89"/>
      <c r="DM264" s="89"/>
      <c r="DN264" s="89"/>
      <c r="DO264" s="89"/>
      <c r="DP264" s="89"/>
      <c r="DQ264" s="89"/>
      <c r="DR264" s="89"/>
      <c r="DS264" s="89"/>
      <c r="DT264" s="89"/>
      <c r="DU264" s="89"/>
      <c r="DV264" s="89"/>
      <c r="DW264" s="89"/>
      <c r="DX264" s="89"/>
      <c r="DY264" s="89"/>
      <c r="DZ264" s="89"/>
      <c r="EA264" s="89"/>
      <c r="EB264" s="89"/>
      <c r="EC264" s="89"/>
      <c r="ED264" s="89"/>
      <c r="EE264" s="89"/>
      <c r="EF264" s="89"/>
      <c r="EG264" s="89"/>
      <c r="EH264" s="89"/>
      <c r="EI264" s="89"/>
      <c r="EJ264" s="89"/>
      <c r="EK264" s="89"/>
      <c r="EL264" s="89"/>
      <c r="EM264" s="89"/>
      <c r="EN264" s="89"/>
      <c r="EO264" s="89"/>
      <c r="EP264" s="89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89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89"/>
      <c r="FQ264" s="89"/>
      <c r="FR264" s="89"/>
      <c r="FS264" s="89"/>
      <c r="FT264" s="89"/>
      <c r="FU264" s="89"/>
    </row>
    <row r="265" spans="10:177" s="1" customFormat="1" ht="15.75"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  <c r="CR265" s="89"/>
      <c r="CS265" s="89"/>
      <c r="CT265" s="89"/>
      <c r="CU265" s="89"/>
      <c r="CV265" s="89"/>
      <c r="CW265" s="89"/>
      <c r="CX265" s="89"/>
      <c r="CY265" s="89"/>
      <c r="CZ265" s="89"/>
      <c r="DA265" s="89"/>
      <c r="DB265" s="89"/>
      <c r="DC265" s="89"/>
      <c r="DD265" s="89"/>
      <c r="DE265" s="89"/>
      <c r="DF265" s="89"/>
      <c r="DG265" s="89"/>
      <c r="DH265" s="89"/>
      <c r="DI265" s="89"/>
      <c r="DJ265" s="89"/>
      <c r="DK265" s="89"/>
      <c r="DL265" s="89"/>
      <c r="DM265" s="89"/>
      <c r="DN265" s="89"/>
      <c r="DO265" s="89"/>
      <c r="DP265" s="89"/>
      <c r="DQ265" s="89"/>
      <c r="DR265" s="89"/>
      <c r="DS265" s="89"/>
      <c r="DT265" s="89"/>
      <c r="DU265" s="89"/>
      <c r="DV265" s="89"/>
      <c r="DW265" s="89"/>
      <c r="DX265" s="89"/>
      <c r="DY265" s="89"/>
      <c r="DZ265" s="89"/>
      <c r="EA265" s="89"/>
      <c r="EB265" s="89"/>
      <c r="EC265" s="89"/>
      <c r="ED265" s="89"/>
      <c r="EE265" s="89"/>
      <c r="EF265" s="89"/>
      <c r="EG265" s="89"/>
      <c r="EH265" s="89"/>
      <c r="EI265" s="89"/>
      <c r="EJ265" s="89"/>
      <c r="EK265" s="89"/>
      <c r="EL265" s="89"/>
      <c r="EM265" s="89"/>
      <c r="EN265" s="89"/>
      <c r="EO265" s="89"/>
      <c r="EP265" s="89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89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89"/>
      <c r="FQ265" s="89"/>
      <c r="FR265" s="89"/>
      <c r="FS265" s="89"/>
      <c r="FT265" s="89"/>
      <c r="FU265" s="89"/>
    </row>
    <row r="266" spans="10:177" s="1" customFormat="1" ht="15.75"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  <c r="CR266" s="89"/>
      <c r="CS266" s="89"/>
      <c r="CT266" s="89"/>
      <c r="CU266" s="89"/>
      <c r="CV266" s="89"/>
      <c r="CW266" s="89"/>
      <c r="CX266" s="89"/>
      <c r="CY266" s="89"/>
      <c r="CZ266" s="89"/>
      <c r="DA266" s="89"/>
      <c r="DB266" s="89"/>
      <c r="DC266" s="89"/>
      <c r="DD266" s="89"/>
      <c r="DE266" s="89"/>
      <c r="DF266" s="89"/>
      <c r="DG266" s="89"/>
      <c r="DH266" s="89"/>
      <c r="DI266" s="89"/>
      <c r="DJ266" s="89"/>
      <c r="DK266" s="89"/>
      <c r="DL266" s="89"/>
      <c r="DM266" s="89"/>
      <c r="DN266" s="89"/>
      <c r="DO266" s="89"/>
      <c r="DP266" s="89"/>
      <c r="DQ266" s="89"/>
      <c r="DR266" s="89"/>
      <c r="DS266" s="89"/>
      <c r="DT266" s="89"/>
      <c r="DU266" s="89"/>
      <c r="DV266" s="89"/>
      <c r="DW266" s="89"/>
      <c r="DX266" s="89"/>
      <c r="DY266" s="89"/>
      <c r="DZ266" s="89"/>
      <c r="EA266" s="89"/>
      <c r="EB266" s="89"/>
      <c r="EC266" s="89"/>
      <c r="ED266" s="89"/>
      <c r="EE266" s="89"/>
      <c r="EF266" s="89"/>
      <c r="EG266" s="89"/>
      <c r="EH266" s="89"/>
      <c r="EI266" s="89"/>
      <c r="EJ266" s="89"/>
      <c r="EK266" s="89"/>
      <c r="EL266" s="89"/>
      <c r="EM266" s="89"/>
      <c r="EN266" s="89"/>
      <c r="EO266" s="89"/>
      <c r="EP266" s="89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89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89"/>
      <c r="FQ266" s="89"/>
      <c r="FR266" s="89"/>
      <c r="FS266" s="89"/>
      <c r="FT266" s="89"/>
      <c r="FU266" s="89"/>
    </row>
    <row r="267" spans="10:177" s="1" customFormat="1" ht="15.75"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  <c r="CR267" s="89"/>
      <c r="CS267" s="89"/>
      <c r="CT267" s="89"/>
      <c r="CU267" s="89"/>
      <c r="CV267" s="89"/>
      <c r="CW267" s="89"/>
      <c r="CX267" s="89"/>
      <c r="CY267" s="89"/>
      <c r="CZ267" s="89"/>
      <c r="DA267" s="89"/>
      <c r="DB267" s="89"/>
      <c r="DC267" s="89"/>
      <c r="DD267" s="89"/>
      <c r="DE267" s="89"/>
      <c r="DF267" s="89"/>
      <c r="DG267" s="89"/>
      <c r="DH267" s="89"/>
      <c r="DI267" s="89"/>
      <c r="DJ267" s="89"/>
      <c r="DK267" s="89"/>
      <c r="DL267" s="89"/>
      <c r="DM267" s="89"/>
      <c r="DN267" s="89"/>
      <c r="DO267" s="89"/>
      <c r="DP267" s="89"/>
      <c r="DQ267" s="89"/>
      <c r="DR267" s="89"/>
      <c r="DS267" s="89"/>
      <c r="DT267" s="89"/>
      <c r="DU267" s="89"/>
      <c r="DV267" s="89"/>
      <c r="DW267" s="89"/>
      <c r="DX267" s="89"/>
      <c r="DY267" s="89"/>
      <c r="DZ267" s="89"/>
      <c r="EA267" s="89"/>
      <c r="EB267" s="89"/>
      <c r="EC267" s="89"/>
      <c r="ED267" s="89"/>
      <c r="EE267" s="89"/>
      <c r="EF267" s="89"/>
      <c r="EG267" s="89"/>
      <c r="EH267" s="89"/>
      <c r="EI267" s="89"/>
      <c r="EJ267" s="89"/>
      <c r="EK267" s="89"/>
      <c r="EL267" s="89"/>
      <c r="EM267" s="89"/>
      <c r="EN267" s="89"/>
      <c r="EO267" s="89"/>
      <c r="EP267" s="89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89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89"/>
      <c r="FQ267" s="89"/>
      <c r="FR267" s="89"/>
      <c r="FS267" s="89"/>
      <c r="FT267" s="89"/>
      <c r="FU267" s="89"/>
    </row>
    <row r="268" spans="10:177" s="1" customFormat="1" ht="15.75"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  <c r="CR268" s="89"/>
      <c r="CS268" s="89"/>
      <c r="CT268" s="89"/>
      <c r="CU268" s="89"/>
      <c r="CV268" s="89"/>
      <c r="CW268" s="89"/>
      <c r="CX268" s="89"/>
      <c r="CY268" s="89"/>
      <c r="CZ268" s="89"/>
      <c r="DA268" s="89"/>
      <c r="DB268" s="89"/>
      <c r="DC268" s="89"/>
      <c r="DD268" s="89"/>
      <c r="DE268" s="89"/>
      <c r="DF268" s="89"/>
      <c r="DG268" s="89"/>
      <c r="DH268" s="89"/>
      <c r="DI268" s="89"/>
      <c r="DJ268" s="89"/>
      <c r="DK268" s="89"/>
      <c r="DL268" s="89"/>
      <c r="DM268" s="89"/>
      <c r="DN268" s="89"/>
      <c r="DO268" s="89"/>
      <c r="DP268" s="89"/>
      <c r="DQ268" s="89"/>
      <c r="DR268" s="89"/>
      <c r="DS268" s="89"/>
      <c r="DT268" s="89"/>
      <c r="DU268" s="89"/>
      <c r="DV268" s="89"/>
      <c r="DW268" s="89"/>
      <c r="DX268" s="89"/>
      <c r="DY268" s="89"/>
      <c r="DZ268" s="89"/>
      <c r="EA268" s="89"/>
      <c r="EB268" s="89"/>
      <c r="EC268" s="89"/>
      <c r="ED268" s="89"/>
      <c r="EE268" s="89"/>
      <c r="EF268" s="89"/>
      <c r="EG268" s="89"/>
      <c r="EH268" s="89"/>
      <c r="EI268" s="89"/>
      <c r="EJ268" s="89"/>
      <c r="EK268" s="89"/>
      <c r="EL268" s="89"/>
      <c r="EM268" s="89"/>
      <c r="EN268" s="89"/>
      <c r="EO268" s="89"/>
      <c r="EP268" s="89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89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89"/>
      <c r="FQ268" s="89"/>
      <c r="FR268" s="89"/>
      <c r="FS268" s="89"/>
      <c r="FT268" s="89"/>
      <c r="FU268" s="89"/>
    </row>
    <row r="269" spans="10:177" s="1" customFormat="1" ht="15.75"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  <c r="CR269" s="89"/>
      <c r="CS269" s="89"/>
      <c r="CT269" s="89"/>
      <c r="CU269" s="89"/>
      <c r="CV269" s="89"/>
      <c r="CW269" s="89"/>
      <c r="CX269" s="89"/>
      <c r="CY269" s="89"/>
      <c r="CZ269" s="89"/>
      <c r="DA269" s="89"/>
      <c r="DB269" s="89"/>
      <c r="DC269" s="89"/>
      <c r="DD269" s="89"/>
      <c r="DE269" s="89"/>
      <c r="DF269" s="89"/>
      <c r="DG269" s="89"/>
      <c r="DH269" s="89"/>
      <c r="DI269" s="89"/>
      <c r="DJ269" s="89"/>
      <c r="DK269" s="89"/>
      <c r="DL269" s="89"/>
      <c r="DM269" s="89"/>
      <c r="DN269" s="89"/>
      <c r="DO269" s="89"/>
      <c r="DP269" s="89"/>
      <c r="DQ269" s="89"/>
      <c r="DR269" s="89"/>
      <c r="DS269" s="89"/>
      <c r="DT269" s="89"/>
      <c r="DU269" s="89"/>
      <c r="DV269" s="89"/>
      <c r="DW269" s="89"/>
      <c r="DX269" s="89"/>
      <c r="DY269" s="89"/>
      <c r="DZ269" s="89"/>
      <c r="EA269" s="89"/>
      <c r="EB269" s="89"/>
      <c r="EC269" s="89"/>
      <c r="ED269" s="89"/>
      <c r="EE269" s="89"/>
      <c r="EF269" s="89"/>
      <c r="EG269" s="89"/>
      <c r="EH269" s="89"/>
      <c r="EI269" s="89"/>
      <c r="EJ269" s="89"/>
      <c r="EK269" s="89"/>
      <c r="EL269" s="89"/>
      <c r="EM269" s="89"/>
      <c r="EN269" s="89"/>
      <c r="EO269" s="89"/>
      <c r="EP269" s="89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89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89"/>
      <c r="FQ269" s="89"/>
      <c r="FR269" s="89"/>
      <c r="FS269" s="89"/>
      <c r="FT269" s="89"/>
      <c r="FU269" s="89"/>
    </row>
    <row r="270" spans="10:177" s="1" customFormat="1" ht="15.75"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  <c r="CR270" s="89"/>
      <c r="CS270" s="89"/>
      <c r="CT270" s="89"/>
      <c r="CU270" s="89"/>
      <c r="CV270" s="89"/>
      <c r="CW270" s="89"/>
      <c r="CX270" s="89"/>
      <c r="CY270" s="89"/>
      <c r="CZ270" s="89"/>
      <c r="DA270" s="89"/>
      <c r="DB270" s="89"/>
      <c r="DC270" s="89"/>
      <c r="DD270" s="89"/>
      <c r="DE270" s="89"/>
      <c r="DF270" s="89"/>
      <c r="DG270" s="89"/>
      <c r="DH270" s="89"/>
      <c r="DI270" s="89"/>
      <c r="DJ270" s="89"/>
      <c r="DK270" s="89"/>
      <c r="DL270" s="89"/>
      <c r="DM270" s="89"/>
      <c r="DN270" s="89"/>
      <c r="DO270" s="89"/>
      <c r="DP270" s="89"/>
      <c r="DQ270" s="89"/>
      <c r="DR270" s="89"/>
      <c r="DS270" s="89"/>
      <c r="DT270" s="89"/>
      <c r="DU270" s="89"/>
      <c r="DV270" s="89"/>
      <c r="DW270" s="89"/>
      <c r="DX270" s="89"/>
      <c r="DY270" s="89"/>
      <c r="DZ270" s="89"/>
      <c r="EA270" s="89"/>
      <c r="EB270" s="89"/>
      <c r="EC270" s="89"/>
      <c r="ED270" s="89"/>
      <c r="EE270" s="89"/>
      <c r="EF270" s="89"/>
      <c r="EG270" s="89"/>
      <c r="EH270" s="89"/>
      <c r="EI270" s="89"/>
      <c r="EJ270" s="89"/>
      <c r="EK270" s="89"/>
      <c r="EL270" s="89"/>
      <c r="EM270" s="89"/>
      <c r="EN270" s="89"/>
      <c r="EO270" s="89"/>
      <c r="EP270" s="89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89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89"/>
      <c r="FQ270" s="89"/>
      <c r="FR270" s="89"/>
      <c r="FS270" s="89"/>
      <c r="FT270" s="89"/>
      <c r="FU270" s="89"/>
    </row>
    <row r="271" spans="10:177" s="1" customFormat="1" ht="15.75"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  <c r="CR271" s="89"/>
      <c r="CS271" s="89"/>
      <c r="CT271" s="89"/>
      <c r="CU271" s="89"/>
      <c r="CV271" s="89"/>
      <c r="CW271" s="89"/>
      <c r="CX271" s="89"/>
      <c r="CY271" s="89"/>
      <c r="CZ271" s="89"/>
      <c r="DA271" s="89"/>
      <c r="DB271" s="89"/>
      <c r="DC271" s="89"/>
      <c r="DD271" s="89"/>
      <c r="DE271" s="89"/>
      <c r="DF271" s="89"/>
      <c r="DG271" s="89"/>
      <c r="DH271" s="89"/>
      <c r="DI271" s="89"/>
      <c r="DJ271" s="89"/>
      <c r="DK271" s="89"/>
      <c r="DL271" s="89"/>
      <c r="DM271" s="89"/>
      <c r="DN271" s="89"/>
      <c r="DO271" s="89"/>
      <c r="DP271" s="89"/>
      <c r="DQ271" s="89"/>
      <c r="DR271" s="89"/>
      <c r="DS271" s="89"/>
      <c r="DT271" s="89"/>
      <c r="DU271" s="89"/>
      <c r="DV271" s="89"/>
      <c r="DW271" s="89"/>
      <c r="DX271" s="89"/>
      <c r="DY271" s="89"/>
      <c r="DZ271" s="89"/>
      <c r="EA271" s="89"/>
      <c r="EB271" s="89"/>
      <c r="EC271" s="89"/>
      <c r="ED271" s="89"/>
      <c r="EE271" s="89"/>
      <c r="EF271" s="89"/>
      <c r="EG271" s="89"/>
      <c r="EH271" s="89"/>
      <c r="EI271" s="89"/>
      <c r="EJ271" s="89"/>
      <c r="EK271" s="89"/>
      <c r="EL271" s="89"/>
      <c r="EM271" s="89"/>
      <c r="EN271" s="89"/>
      <c r="EO271" s="89"/>
      <c r="EP271" s="89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89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89"/>
      <c r="FQ271" s="89"/>
      <c r="FR271" s="89"/>
      <c r="FS271" s="89"/>
      <c r="FT271" s="89"/>
      <c r="FU271" s="89"/>
    </row>
    <row r="272" spans="10:177" s="1" customFormat="1" ht="15.75"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  <c r="CR272" s="89"/>
      <c r="CS272" s="89"/>
      <c r="CT272" s="89"/>
      <c r="CU272" s="89"/>
      <c r="CV272" s="89"/>
      <c r="CW272" s="89"/>
      <c r="CX272" s="89"/>
      <c r="CY272" s="89"/>
      <c r="CZ272" s="89"/>
      <c r="DA272" s="89"/>
      <c r="DB272" s="89"/>
      <c r="DC272" s="89"/>
      <c r="DD272" s="89"/>
      <c r="DE272" s="89"/>
      <c r="DF272" s="89"/>
      <c r="DG272" s="89"/>
      <c r="DH272" s="89"/>
      <c r="DI272" s="89"/>
      <c r="DJ272" s="89"/>
      <c r="DK272" s="89"/>
      <c r="DL272" s="89"/>
      <c r="DM272" s="89"/>
      <c r="DN272" s="89"/>
      <c r="DO272" s="89"/>
      <c r="DP272" s="89"/>
      <c r="DQ272" s="89"/>
      <c r="DR272" s="89"/>
      <c r="DS272" s="89"/>
      <c r="DT272" s="89"/>
      <c r="DU272" s="89"/>
      <c r="DV272" s="89"/>
      <c r="DW272" s="89"/>
      <c r="DX272" s="89"/>
      <c r="DY272" s="89"/>
      <c r="DZ272" s="89"/>
      <c r="EA272" s="89"/>
      <c r="EB272" s="89"/>
      <c r="EC272" s="89"/>
      <c r="ED272" s="89"/>
      <c r="EE272" s="89"/>
      <c r="EF272" s="89"/>
      <c r="EG272" s="89"/>
      <c r="EH272" s="89"/>
      <c r="EI272" s="89"/>
      <c r="EJ272" s="89"/>
      <c r="EK272" s="89"/>
      <c r="EL272" s="89"/>
      <c r="EM272" s="89"/>
      <c r="EN272" s="89"/>
      <c r="EO272" s="89"/>
      <c r="EP272" s="89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89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89"/>
      <c r="FQ272" s="89"/>
      <c r="FR272" s="89"/>
      <c r="FS272" s="89"/>
      <c r="FT272" s="89"/>
      <c r="FU272" s="89"/>
    </row>
    <row r="273" spans="10:177" s="1" customFormat="1" ht="15.75"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  <c r="CR273" s="89"/>
      <c r="CS273" s="89"/>
      <c r="CT273" s="89"/>
      <c r="CU273" s="89"/>
      <c r="CV273" s="89"/>
      <c r="CW273" s="89"/>
      <c r="CX273" s="89"/>
      <c r="CY273" s="89"/>
      <c r="CZ273" s="89"/>
      <c r="DA273" s="89"/>
      <c r="DB273" s="89"/>
      <c r="DC273" s="89"/>
      <c r="DD273" s="89"/>
      <c r="DE273" s="89"/>
      <c r="DF273" s="89"/>
      <c r="DG273" s="89"/>
      <c r="DH273" s="89"/>
      <c r="DI273" s="89"/>
      <c r="DJ273" s="89"/>
      <c r="DK273" s="89"/>
      <c r="DL273" s="89"/>
      <c r="DM273" s="89"/>
      <c r="DN273" s="89"/>
      <c r="DO273" s="89"/>
      <c r="DP273" s="89"/>
      <c r="DQ273" s="89"/>
      <c r="DR273" s="89"/>
      <c r="DS273" s="89"/>
      <c r="DT273" s="89"/>
      <c r="DU273" s="89"/>
      <c r="DV273" s="89"/>
      <c r="DW273" s="89"/>
      <c r="DX273" s="89"/>
      <c r="DY273" s="89"/>
      <c r="DZ273" s="89"/>
      <c r="EA273" s="89"/>
      <c r="EB273" s="89"/>
      <c r="EC273" s="89"/>
      <c r="ED273" s="89"/>
      <c r="EE273" s="89"/>
      <c r="EF273" s="89"/>
      <c r="EG273" s="89"/>
      <c r="EH273" s="89"/>
      <c r="EI273" s="89"/>
      <c r="EJ273" s="89"/>
      <c r="EK273" s="89"/>
      <c r="EL273" s="89"/>
      <c r="EM273" s="89"/>
      <c r="EN273" s="89"/>
      <c r="EO273" s="89"/>
      <c r="EP273" s="89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89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89"/>
      <c r="FQ273" s="89"/>
      <c r="FR273" s="89"/>
      <c r="FS273" s="89"/>
      <c r="FT273" s="89"/>
      <c r="FU273" s="89"/>
    </row>
    <row r="274" spans="10:177" s="1" customFormat="1" ht="15.75"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  <c r="CR274" s="89"/>
      <c r="CS274" s="89"/>
      <c r="CT274" s="89"/>
      <c r="CU274" s="89"/>
      <c r="CV274" s="89"/>
      <c r="CW274" s="89"/>
      <c r="CX274" s="89"/>
      <c r="CY274" s="89"/>
      <c r="CZ274" s="89"/>
      <c r="DA274" s="89"/>
      <c r="DB274" s="89"/>
      <c r="DC274" s="89"/>
      <c r="DD274" s="89"/>
      <c r="DE274" s="89"/>
      <c r="DF274" s="89"/>
      <c r="DG274" s="89"/>
      <c r="DH274" s="89"/>
      <c r="DI274" s="89"/>
      <c r="DJ274" s="89"/>
      <c r="DK274" s="89"/>
      <c r="DL274" s="89"/>
      <c r="DM274" s="89"/>
      <c r="DN274" s="89"/>
      <c r="DO274" s="89"/>
      <c r="DP274" s="89"/>
      <c r="DQ274" s="89"/>
      <c r="DR274" s="89"/>
      <c r="DS274" s="89"/>
      <c r="DT274" s="89"/>
      <c r="DU274" s="89"/>
      <c r="DV274" s="89"/>
      <c r="DW274" s="89"/>
      <c r="DX274" s="89"/>
      <c r="DY274" s="89"/>
      <c r="DZ274" s="89"/>
      <c r="EA274" s="89"/>
      <c r="EB274" s="89"/>
      <c r="EC274" s="89"/>
      <c r="ED274" s="89"/>
      <c r="EE274" s="89"/>
      <c r="EF274" s="89"/>
      <c r="EG274" s="89"/>
      <c r="EH274" s="89"/>
      <c r="EI274" s="89"/>
      <c r="EJ274" s="89"/>
      <c r="EK274" s="89"/>
      <c r="EL274" s="89"/>
      <c r="EM274" s="89"/>
      <c r="EN274" s="89"/>
      <c r="EO274" s="89"/>
      <c r="EP274" s="89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89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89"/>
      <c r="FQ274" s="89"/>
      <c r="FR274" s="89"/>
      <c r="FS274" s="89"/>
      <c r="FT274" s="89"/>
      <c r="FU274" s="89"/>
    </row>
    <row r="275" spans="10:177" s="1" customFormat="1" ht="15.75"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  <c r="CR275" s="89"/>
      <c r="CS275" s="89"/>
      <c r="CT275" s="89"/>
      <c r="CU275" s="89"/>
      <c r="CV275" s="89"/>
      <c r="CW275" s="89"/>
      <c r="CX275" s="89"/>
      <c r="CY275" s="89"/>
      <c r="CZ275" s="89"/>
      <c r="DA275" s="89"/>
      <c r="DB275" s="89"/>
      <c r="DC275" s="89"/>
      <c r="DD275" s="89"/>
      <c r="DE275" s="89"/>
      <c r="DF275" s="89"/>
      <c r="DG275" s="89"/>
      <c r="DH275" s="89"/>
      <c r="DI275" s="89"/>
      <c r="DJ275" s="89"/>
      <c r="DK275" s="89"/>
      <c r="DL275" s="89"/>
      <c r="DM275" s="89"/>
      <c r="DN275" s="89"/>
      <c r="DO275" s="89"/>
      <c r="DP275" s="89"/>
      <c r="DQ275" s="89"/>
      <c r="DR275" s="89"/>
      <c r="DS275" s="89"/>
      <c r="DT275" s="89"/>
      <c r="DU275" s="89"/>
      <c r="DV275" s="89"/>
      <c r="DW275" s="89"/>
      <c r="DX275" s="89"/>
      <c r="DY275" s="89"/>
      <c r="DZ275" s="89"/>
      <c r="EA275" s="89"/>
      <c r="EB275" s="89"/>
      <c r="EC275" s="89"/>
      <c r="ED275" s="89"/>
      <c r="EE275" s="89"/>
      <c r="EF275" s="89"/>
      <c r="EG275" s="89"/>
      <c r="EH275" s="89"/>
      <c r="EI275" s="89"/>
      <c r="EJ275" s="89"/>
      <c r="EK275" s="89"/>
      <c r="EL275" s="89"/>
      <c r="EM275" s="89"/>
      <c r="EN275" s="89"/>
      <c r="EO275" s="89"/>
      <c r="EP275" s="89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89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89"/>
      <c r="FQ275" s="89"/>
      <c r="FR275" s="89"/>
      <c r="FS275" s="89"/>
      <c r="FT275" s="89"/>
      <c r="FU275" s="89"/>
    </row>
    <row r="276" spans="10:177" s="1" customFormat="1" ht="15.75"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  <c r="CR276" s="89"/>
      <c r="CS276" s="89"/>
      <c r="CT276" s="89"/>
      <c r="CU276" s="89"/>
      <c r="CV276" s="89"/>
      <c r="CW276" s="89"/>
      <c r="CX276" s="89"/>
      <c r="CY276" s="89"/>
      <c r="CZ276" s="89"/>
      <c r="DA276" s="89"/>
      <c r="DB276" s="89"/>
      <c r="DC276" s="89"/>
      <c r="DD276" s="89"/>
      <c r="DE276" s="89"/>
      <c r="DF276" s="89"/>
      <c r="DG276" s="89"/>
      <c r="DH276" s="89"/>
      <c r="DI276" s="89"/>
      <c r="DJ276" s="89"/>
      <c r="DK276" s="89"/>
      <c r="DL276" s="89"/>
      <c r="DM276" s="89"/>
      <c r="DN276" s="89"/>
      <c r="DO276" s="89"/>
      <c r="DP276" s="89"/>
      <c r="DQ276" s="89"/>
      <c r="DR276" s="89"/>
      <c r="DS276" s="89"/>
      <c r="DT276" s="89"/>
      <c r="DU276" s="89"/>
      <c r="DV276" s="89"/>
      <c r="DW276" s="89"/>
      <c r="DX276" s="89"/>
      <c r="DY276" s="89"/>
      <c r="DZ276" s="89"/>
      <c r="EA276" s="89"/>
      <c r="EB276" s="89"/>
      <c r="EC276" s="89"/>
      <c r="ED276" s="89"/>
      <c r="EE276" s="89"/>
      <c r="EF276" s="89"/>
      <c r="EG276" s="89"/>
      <c r="EH276" s="89"/>
      <c r="EI276" s="89"/>
      <c r="EJ276" s="89"/>
      <c r="EK276" s="89"/>
      <c r="EL276" s="89"/>
      <c r="EM276" s="89"/>
      <c r="EN276" s="89"/>
      <c r="EO276" s="89"/>
      <c r="EP276" s="89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89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89"/>
      <c r="FQ276" s="89"/>
      <c r="FR276" s="89"/>
      <c r="FS276" s="89"/>
      <c r="FT276" s="89"/>
      <c r="FU276" s="89"/>
    </row>
    <row r="277" spans="10:177" s="1" customFormat="1" ht="15.75"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  <c r="EG277" s="89"/>
      <c r="EH277" s="89"/>
      <c r="EI277" s="89"/>
      <c r="EJ277" s="89"/>
      <c r="EK277" s="89"/>
      <c r="EL277" s="89"/>
      <c r="EM277" s="89"/>
      <c r="EN277" s="89"/>
      <c r="EO277" s="89"/>
      <c r="EP277" s="89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89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89"/>
      <c r="FQ277" s="89"/>
      <c r="FR277" s="89"/>
      <c r="FS277" s="89"/>
      <c r="FT277" s="89"/>
      <c r="FU277" s="89"/>
    </row>
    <row r="278" spans="10:177" s="1" customFormat="1" ht="15.75"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  <c r="CR278" s="89"/>
      <c r="CS278" s="89"/>
      <c r="CT278" s="89"/>
      <c r="CU278" s="89"/>
      <c r="CV278" s="89"/>
      <c r="CW278" s="89"/>
      <c r="CX278" s="89"/>
      <c r="CY278" s="89"/>
      <c r="CZ278" s="89"/>
      <c r="DA278" s="89"/>
      <c r="DB278" s="89"/>
      <c r="DC278" s="89"/>
      <c r="DD278" s="89"/>
      <c r="DE278" s="89"/>
      <c r="DF278" s="89"/>
      <c r="DG278" s="89"/>
      <c r="DH278" s="89"/>
      <c r="DI278" s="89"/>
      <c r="DJ278" s="89"/>
      <c r="DK278" s="89"/>
      <c r="DL278" s="89"/>
      <c r="DM278" s="89"/>
      <c r="DN278" s="89"/>
      <c r="DO278" s="89"/>
      <c r="DP278" s="89"/>
      <c r="DQ278" s="89"/>
      <c r="DR278" s="89"/>
      <c r="DS278" s="89"/>
      <c r="DT278" s="89"/>
      <c r="DU278" s="89"/>
      <c r="DV278" s="89"/>
      <c r="DW278" s="89"/>
      <c r="DX278" s="89"/>
      <c r="DY278" s="89"/>
      <c r="DZ278" s="89"/>
      <c r="EA278" s="89"/>
      <c r="EB278" s="89"/>
      <c r="EC278" s="89"/>
      <c r="ED278" s="89"/>
      <c r="EE278" s="89"/>
      <c r="EF278" s="89"/>
      <c r="EG278" s="89"/>
      <c r="EH278" s="89"/>
      <c r="EI278" s="89"/>
      <c r="EJ278" s="89"/>
      <c r="EK278" s="89"/>
      <c r="EL278" s="89"/>
      <c r="EM278" s="89"/>
      <c r="EN278" s="89"/>
      <c r="EO278" s="89"/>
      <c r="EP278" s="89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89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89"/>
      <c r="FQ278" s="89"/>
      <c r="FR278" s="89"/>
      <c r="FS278" s="89"/>
      <c r="FT278" s="89"/>
      <c r="FU278" s="89"/>
    </row>
    <row r="279" spans="10:177" s="1" customFormat="1" ht="15.75"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  <c r="CR279" s="89"/>
      <c r="CS279" s="89"/>
      <c r="CT279" s="89"/>
      <c r="CU279" s="89"/>
      <c r="CV279" s="89"/>
      <c r="CW279" s="89"/>
      <c r="CX279" s="89"/>
      <c r="CY279" s="89"/>
      <c r="CZ279" s="89"/>
      <c r="DA279" s="89"/>
      <c r="DB279" s="89"/>
      <c r="DC279" s="89"/>
      <c r="DD279" s="89"/>
      <c r="DE279" s="89"/>
      <c r="DF279" s="89"/>
      <c r="DG279" s="89"/>
      <c r="DH279" s="89"/>
      <c r="DI279" s="89"/>
      <c r="DJ279" s="89"/>
      <c r="DK279" s="89"/>
      <c r="DL279" s="89"/>
      <c r="DM279" s="89"/>
      <c r="DN279" s="89"/>
      <c r="DO279" s="89"/>
      <c r="DP279" s="89"/>
      <c r="DQ279" s="89"/>
      <c r="DR279" s="89"/>
      <c r="DS279" s="89"/>
      <c r="DT279" s="89"/>
      <c r="DU279" s="89"/>
      <c r="DV279" s="89"/>
      <c r="DW279" s="89"/>
      <c r="DX279" s="89"/>
      <c r="DY279" s="89"/>
      <c r="DZ279" s="89"/>
      <c r="EA279" s="89"/>
      <c r="EB279" s="89"/>
      <c r="EC279" s="89"/>
      <c r="ED279" s="89"/>
      <c r="EE279" s="89"/>
      <c r="EF279" s="89"/>
      <c r="EG279" s="89"/>
      <c r="EH279" s="89"/>
      <c r="EI279" s="89"/>
      <c r="EJ279" s="89"/>
      <c r="EK279" s="89"/>
      <c r="EL279" s="89"/>
      <c r="EM279" s="89"/>
      <c r="EN279" s="89"/>
      <c r="EO279" s="89"/>
      <c r="EP279" s="89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89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89"/>
      <c r="FQ279" s="89"/>
      <c r="FR279" s="89"/>
      <c r="FS279" s="89"/>
      <c r="FT279" s="89"/>
      <c r="FU279" s="89"/>
    </row>
    <row r="280" spans="10:177" s="1" customFormat="1" ht="15.75"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  <c r="EG280" s="89"/>
      <c r="EH280" s="89"/>
      <c r="EI280" s="89"/>
      <c r="EJ280" s="89"/>
      <c r="EK280" s="89"/>
      <c r="EL280" s="89"/>
      <c r="EM280" s="89"/>
      <c r="EN280" s="89"/>
      <c r="EO280" s="89"/>
      <c r="EP280" s="89"/>
      <c r="EQ280" s="89"/>
      <c r="ER280" s="89"/>
      <c r="ES280" s="89"/>
      <c r="ET280" s="89"/>
      <c r="EU280" s="89"/>
      <c r="EV280" s="89"/>
      <c r="EW280" s="89"/>
      <c r="EX280" s="89"/>
      <c r="EY280" s="89"/>
      <c r="EZ280" s="89"/>
      <c r="FA280" s="89"/>
      <c r="FB280" s="89"/>
      <c r="FC280" s="89"/>
      <c r="FD280" s="89"/>
      <c r="FE280" s="89"/>
      <c r="FF280" s="89"/>
      <c r="FG280" s="89"/>
      <c r="FH280" s="89"/>
      <c r="FI280" s="89"/>
      <c r="FJ280" s="89"/>
      <c r="FK280" s="89"/>
      <c r="FL280" s="89"/>
      <c r="FM280" s="89"/>
      <c r="FN280" s="89"/>
      <c r="FO280" s="89"/>
      <c r="FP280" s="89"/>
      <c r="FQ280" s="89"/>
      <c r="FR280" s="89"/>
      <c r="FS280" s="89"/>
      <c r="FT280" s="89"/>
      <c r="FU280" s="89"/>
    </row>
    <row r="281" spans="10:177" s="1" customFormat="1" ht="15.75"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  <c r="CR281" s="89"/>
      <c r="CS281" s="89"/>
      <c r="CT281" s="89"/>
      <c r="CU281" s="89"/>
      <c r="CV281" s="89"/>
      <c r="CW281" s="89"/>
      <c r="CX281" s="89"/>
      <c r="CY281" s="89"/>
      <c r="CZ281" s="89"/>
      <c r="DA281" s="89"/>
      <c r="DB281" s="89"/>
      <c r="DC281" s="89"/>
      <c r="DD281" s="89"/>
      <c r="DE281" s="89"/>
      <c r="DF281" s="89"/>
      <c r="DG281" s="89"/>
      <c r="DH281" s="89"/>
      <c r="DI281" s="89"/>
      <c r="DJ281" s="89"/>
      <c r="DK281" s="89"/>
      <c r="DL281" s="89"/>
      <c r="DM281" s="89"/>
      <c r="DN281" s="89"/>
      <c r="DO281" s="89"/>
      <c r="DP281" s="89"/>
      <c r="DQ281" s="89"/>
      <c r="DR281" s="89"/>
      <c r="DS281" s="89"/>
      <c r="DT281" s="89"/>
      <c r="DU281" s="89"/>
      <c r="DV281" s="89"/>
      <c r="DW281" s="89"/>
      <c r="DX281" s="89"/>
      <c r="DY281" s="89"/>
      <c r="DZ281" s="89"/>
      <c r="EA281" s="89"/>
      <c r="EB281" s="89"/>
      <c r="EC281" s="89"/>
      <c r="ED281" s="89"/>
      <c r="EE281" s="89"/>
      <c r="EF281" s="89"/>
      <c r="EG281" s="89"/>
      <c r="EH281" s="89"/>
      <c r="EI281" s="89"/>
      <c r="EJ281" s="89"/>
      <c r="EK281" s="89"/>
      <c r="EL281" s="89"/>
      <c r="EM281" s="89"/>
      <c r="EN281" s="89"/>
      <c r="EO281" s="89"/>
      <c r="EP281" s="89"/>
      <c r="EQ281" s="89"/>
      <c r="ER281" s="89"/>
      <c r="ES281" s="89"/>
      <c r="ET281" s="89"/>
      <c r="EU281" s="89"/>
      <c r="EV281" s="89"/>
      <c r="EW281" s="89"/>
      <c r="EX281" s="89"/>
      <c r="EY281" s="89"/>
      <c r="EZ281" s="89"/>
      <c r="FA281" s="89"/>
      <c r="FB281" s="89"/>
      <c r="FC281" s="89"/>
      <c r="FD281" s="89"/>
      <c r="FE281" s="89"/>
      <c r="FF281" s="89"/>
      <c r="FG281" s="89"/>
      <c r="FH281" s="89"/>
      <c r="FI281" s="89"/>
      <c r="FJ281" s="89"/>
      <c r="FK281" s="89"/>
      <c r="FL281" s="89"/>
      <c r="FM281" s="89"/>
      <c r="FN281" s="89"/>
      <c r="FO281" s="89"/>
      <c r="FP281" s="89"/>
      <c r="FQ281" s="89"/>
      <c r="FR281" s="89"/>
      <c r="FS281" s="89"/>
      <c r="FT281" s="89"/>
      <c r="FU281" s="89"/>
    </row>
    <row r="282" spans="10:177" s="1" customFormat="1" ht="15.75"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  <c r="CR282" s="89"/>
      <c r="CS282" s="89"/>
      <c r="CT282" s="89"/>
      <c r="CU282" s="89"/>
      <c r="CV282" s="89"/>
      <c r="CW282" s="89"/>
      <c r="CX282" s="89"/>
      <c r="CY282" s="89"/>
      <c r="CZ282" s="89"/>
      <c r="DA282" s="89"/>
      <c r="DB282" s="89"/>
      <c r="DC282" s="89"/>
      <c r="DD282" s="89"/>
      <c r="DE282" s="89"/>
      <c r="DF282" s="89"/>
      <c r="DG282" s="89"/>
      <c r="DH282" s="89"/>
      <c r="DI282" s="89"/>
      <c r="DJ282" s="89"/>
      <c r="DK282" s="89"/>
      <c r="DL282" s="89"/>
      <c r="DM282" s="89"/>
      <c r="DN282" s="89"/>
      <c r="DO282" s="89"/>
      <c r="DP282" s="89"/>
      <c r="DQ282" s="89"/>
      <c r="DR282" s="89"/>
      <c r="DS282" s="89"/>
      <c r="DT282" s="89"/>
      <c r="DU282" s="89"/>
      <c r="DV282" s="89"/>
      <c r="DW282" s="89"/>
      <c r="DX282" s="89"/>
      <c r="DY282" s="89"/>
      <c r="DZ282" s="89"/>
      <c r="EA282" s="89"/>
      <c r="EB282" s="89"/>
      <c r="EC282" s="89"/>
      <c r="ED282" s="89"/>
      <c r="EE282" s="89"/>
      <c r="EF282" s="89"/>
      <c r="EG282" s="89"/>
      <c r="EH282" s="89"/>
      <c r="EI282" s="89"/>
      <c r="EJ282" s="89"/>
      <c r="EK282" s="89"/>
      <c r="EL282" s="89"/>
      <c r="EM282" s="89"/>
      <c r="EN282" s="89"/>
      <c r="EO282" s="89"/>
      <c r="EP282" s="89"/>
      <c r="EQ282" s="89"/>
      <c r="ER282" s="89"/>
      <c r="ES282" s="89"/>
      <c r="ET282" s="89"/>
      <c r="EU282" s="89"/>
      <c r="EV282" s="89"/>
      <c r="EW282" s="89"/>
      <c r="EX282" s="89"/>
      <c r="EY282" s="89"/>
      <c r="EZ282" s="89"/>
      <c r="FA282" s="89"/>
      <c r="FB282" s="89"/>
      <c r="FC282" s="89"/>
      <c r="FD282" s="89"/>
      <c r="FE282" s="89"/>
      <c r="FF282" s="89"/>
      <c r="FG282" s="89"/>
      <c r="FH282" s="89"/>
      <c r="FI282" s="89"/>
      <c r="FJ282" s="89"/>
      <c r="FK282" s="89"/>
      <c r="FL282" s="89"/>
      <c r="FM282" s="89"/>
      <c r="FN282" s="89"/>
      <c r="FO282" s="89"/>
      <c r="FP282" s="89"/>
      <c r="FQ282" s="89"/>
      <c r="FR282" s="89"/>
      <c r="FS282" s="89"/>
      <c r="FT282" s="89"/>
      <c r="FU282" s="89"/>
    </row>
    <row r="283" spans="10:177" s="1" customFormat="1" ht="15.75"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  <c r="CR283" s="89"/>
      <c r="CS283" s="89"/>
      <c r="CT283" s="89"/>
      <c r="CU283" s="89"/>
      <c r="CV283" s="89"/>
      <c r="CW283" s="89"/>
      <c r="CX283" s="89"/>
      <c r="CY283" s="89"/>
      <c r="CZ283" s="89"/>
      <c r="DA283" s="89"/>
      <c r="DB283" s="89"/>
      <c r="DC283" s="89"/>
      <c r="DD283" s="89"/>
      <c r="DE283" s="89"/>
      <c r="DF283" s="89"/>
      <c r="DG283" s="89"/>
      <c r="DH283" s="89"/>
      <c r="DI283" s="89"/>
      <c r="DJ283" s="89"/>
      <c r="DK283" s="89"/>
      <c r="DL283" s="89"/>
      <c r="DM283" s="89"/>
      <c r="DN283" s="89"/>
      <c r="DO283" s="89"/>
      <c r="DP283" s="89"/>
      <c r="DQ283" s="89"/>
      <c r="DR283" s="89"/>
      <c r="DS283" s="89"/>
      <c r="DT283" s="89"/>
      <c r="DU283" s="89"/>
      <c r="DV283" s="89"/>
      <c r="DW283" s="89"/>
      <c r="DX283" s="89"/>
      <c r="DY283" s="89"/>
      <c r="DZ283" s="89"/>
      <c r="EA283" s="89"/>
      <c r="EB283" s="89"/>
      <c r="EC283" s="89"/>
      <c r="ED283" s="89"/>
      <c r="EE283" s="89"/>
      <c r="EF283" s="89"/>
      <c r="EG283" s="89"/>
      <c r="EH283" s="89"/>
      <c r="EI283" s="89"/>
      <c r="EJ283" s="89"/>
      <c r="EK283" s="89"/>
      <c r="EL283" s="89"/>
      <c r="EM283" s="89"/>
      <c r="EN283" s="89"/>
      <c r="EO283" s="89"/>
      <c r="EP283" s="89"/>
      <c r="EQ283" s="89"/>
      <c r="ER283" s="89"/>
      <c r="ES283" s="89"/>
      <c r="ET283" s="89"/>
      <c r="EU283" s="89"/>
      <c r="EV283" s="89"/>
      <c r="EW283" s="89"/>
      <c r="EX283" s="89"/>
      <c r="EY283" s="89"/>
      <c r="EZ283" s="89"/>
      <c r="FA283" s="89"/>
      <c r="FB283" s="89"/>
      <c r="FC283" s="89"/>
      <c r="FD283" s="89"/>
      <c r="FE283" s="89"/>
      <c r="FF283" s="89"/>
      <c r="FG283" s="89"/>
      <c r="FH283" s="89"/>
      <c r="FI283" s="89"/>
      <c r="FJ283" s="89"/>
      <c r="FK283" s="89"/>
      <c r="FL283" s="89"/>
      <c r="FM283" s="89"/>
      <c r="FN283" s="89"/>
      <c r="FO283" s="89"/>
      <c r="FP283" s="89"/>
      <c r="FQ283" s="89"/>
      <c r="FR283" s="89"/>
      <c r="FS283" s="89"/>
      <c r="FT283" s="89"/>
      <c r="FU283" s="89"/>
    </row>
    <row r="284" spans="10:177" s="1" customFormat="1" ht="15.75"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  <c r="CR284" s="89"/>
      <c r="CS284" s="89"/>
      <c r="CT284" s="89"/>
      <c r="CU284" s="89"/>
      <c r="CV284" s="89"/>
      <c r="CW284" s="89"/>
      <c r="CX284" s="89"/>
      <c r="CY284" s="89"/>
      <c r="CZ284" s="89"/>
      <c r="DA284" s="89"/>
      <c r="DB284" s="89"/>
      <c r="DC284" s="89"/>
      <c r="DD284" s="89"/>
      <c r="DE284" s="89"/>
      <c r="DF284" s="89"/>
      <c r="DG284" s="89"/>
      <c r="DH284" s="89"/>
      <c r="DI284" s="89"/>
      <c r="DJ284" s="89"/>
      <c r="DK284" s="89"/>
      <c r="DL284" s="89"/>
      <c r="DM284" s="89"/>
      <c r="DN284" s="89"/>
      <c r="DO284" s="89"/>
      <c r="DP284" s="89"/>
      <c r="DQ284" s="89"/>
      <c r="DR284" s="89"/>
      <c r="DS284" s="89"/>
      <c r="DT284" s="89"/>
      <c r="DU284" s="89"/>
      <c r="DV284" s="89"/>
      <c r="DW284" s="89"/>
      <c r="DX284" s="89"/>
      <c r="DY284" s="89"/>
      <c r="DZ284" s="89"/>
      <c r="EA284" s="89"/>
      <c r="EB284" s="89"/>
      <c r="EC284" s="89"/>
      <c r="ED284" s="89"/>
      <c r="EE284" s="89"/>
      <c r="EF284" s="89"/>
      <c r="EG284" s="89"/>
      <c r="EH284" s="89"/>
      <c r="EI284" s="89"/>
      <c r="EJ284" s="89"/>
      <c r="EK284" s="89"/>
      <c r="EL284" s="89"/>
      <c r="EM284" s="89"/>
      <c r="EN284" s="89"/>
      <c r="EO284" s="89"/>
      <c r="EP284" s="89"/>
      <c r="EQ284" s="89"/>
      <c r="ER284" s="89"/>
      <c r="ES284" s="89"/>
      <c r="ET284" s="89"/>
      <c r="EU284" s="89"/>
      <c r="EV284" s="89"/>
      <c r="EW284" s="89"/>
      <c r="EX284" s="89"/>
      <c r="EY284" s="89"/>
      <c r="EZ284" s="89"/>
      <c r="FA284" s="89"/>
      <c r="FB284" s="89"/>
      <c r="FC284" s="89"/>
      <c r="FD284" s="89"/>
      <c r="FE284" s="89"/>
      <c r="FF284" s="89"/>
      <c r="FG284" s="89"/>
      <c r="FH284" s="89"/>
      <c r="FI284" s="89"/>
      <c r="FJ284" s="89"/>
      <c r="FK284" s="89"/>
      <c r="FL284" s="89"/>
      <c r="FM284" s="89"/>
      <c r="FN284" s="89"/>
      <c r="FO284" s="89"/>
      <c r="FP284" s="89"/>
      <c r="FQ284" s="89"/>
      <c r="FR284" s="89"/>
      <c r="FS284" s="89"/>
      <c r="FT284" s="89"/>
      <c r="FU284" s="89"/>
    </row>
    <row r="285" spans="10:177" s="1" customFormat="1" ht="15.75"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  <c r="CR285" s="89"/>
      <c r="CS285" s="89"/>
      <c r="CT285" s="89"/>
      <c r="CU285" s="89"/>
      <c r="CV285" s="89"/>
      <c r="CW285" s="89"/>
      <c r="CX285" s="89"/>
      <c r="CY285" s="89"/>
      <c r="CZ285" s="89"/>
      <c r="DA285" s="89"/>
      <c r="DB285" s="89"/>
      <c r="DC285" s="89"/>
      <c r="DD285" s="89"/>
      <c r="DE285" s="89"/>
      <c r="DF285" s="89"/>
      <c r="DG285" s="89"/>
      <c r="DH285" s="89"/>
      <c r="DI285" s="89"/>
      <c r="DJ285" s="89"/>
      <c r="DK285" s="89"/>
      <c r="DL285" s="89"/>
      <c r="DM285" s="89"/>
      <c r="DN285" s="89"/>
      <c r="DO285" s="89"/>
      <c r="DP285" s="89"/>
      <c r="DQ285" s="89"/>
      <c r="DR285" s="89"/>
      <c r="DS285" s="89"/>
      <c r="DT285" s="89"/>
      <c r="DU285" s="89"/>
      <c r="DV285" s="89"/>
      <c r="DW285" s="89"/>
      <c r="DX285" s="89"/>
      <c r="DY285" s="89"/>
      <c r="DZ285" s="89"/>
      <c r="EA285" s="89"/>
      <c r="EB285" s="89"/>
      <c r="EC285" s="89"/>
      <c r="ED285" s="89"/>
      <c r="EE285" s="89"/>
      <c r="EF285" s="89"/>
      <c r="EG285" s="89"/>
      <c r="EH285" s="89"/>
      <c r="EI285" s="89"/>
      <c r="EJ285" s="89"/>
      <c r="EK285" s="89"/>
      <c r="EL285" s="89"/>
      <c r="EM285" s="89"/>
      <c r="EN285" s="89"/>
      <c r="EO285" s="89"/>
      <c r="EP285" s="89"/>
      <c r="EQ285" s="89"/>
      <c r="ER285" s="89"/>
      <c r="ES285" s="89"/>
      <c r="ET285" s="89"/>
      <c r="EU285" s="89"/>
      <c r="EV285" s="89"/>
      <c r="EW285" s="89"/>
      <c r="EX285" s="89"/>
      <c r="EY285" s="89"/>
      <c r="EZ285" s="89"/>
      <c r="FA285" s="89"/>
      <c r="FB285" s="89"/>
      <c r="FC285" s="89"/>
      <c r="FD285" s="89"/>
      <c r="FE285" s="89"/>
      <c r="FF285" s="89"/>
      <c r="FG285" s="89"/>
      <c r="FH285" s="89"/>
      <c r="FI285" s="89"/>
      <c r="FJ285" s="89"/>
      <c r="FK285" s="89"/>
      <c r="FL285" s="89"/>
      <c r="FM285" s="89"/>
      <c r="FN285" s="89"/>
      <c r="FO285" s="89"/>
      <c r="FP285" s="89"/>
      <c r="FQ285" s="89"/>
      <c r="FR285" s="89"/>
      <c r="FS285" s="89"/>
      <c r="FT285" s="89"/>
      <c r="FU285" s="89"/>
    </row>
    <row r="286" spans="10:177" s="1" customFormat="1" ht="15.75"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89"/>
      <c r="DK286" s="89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89"/>
      <c r="EB286" s="89"/>
      <c r="EC286" s="89"/>
      <c r="ED286" s="89"/>
      <c r="EE286" s="89"/>
      <c r="EF286" s="89"/>
      <c r="EG286" s="89"/>
      <c r="EH286" s="89"/>
      <c r="EI286" s="89"/>
      <c r="EJ286" s="89"/>
      <c r="EK286" s="89"/>
      <c r="EL286" s="89"/>
      <c r="EM286" s="89"/>
      <c r="EN286" s="89"/>
      <c r="EO286" s="89"/>
      <c r="EP286" s="89"/>
      <c r="EQ286" s="89"/>
      <c r="ER286" s="89"/>
      <c r="ES286" s="89"/>
      <c r="ET286" s="89"/>
      <c r="EU286" s="89"/>
      <c r="EV286" s="89"/>
      <c r="EW286" s="89"/>
      <c r="EX286" s="89"/>
      <c r="EY286" s="89"/>
      <c r="EZ286" s="89"/>
      <c r="FA286" s="89"/>
      <c r="FB286" s="89"/>
      <c r="FC286" s="89"/>
      <c r="FD286" s="89"/>
      <c r="FE286" s="89"/>
      <c r="FF286" s="89"/>
      <c r="FG286" s="89"/>
      <c r="FH286" s="89"/>
      <c r="FI286" s="89"/>
      <c r="FJ286" s="89"/>
      <c r="FK286" s="89"/>
      <c r="FL286" s="89"/>
      <c r="FM286" s="89"/>
      <c r="FN286" s="89"/>
      <c r="FO286" s="89"/>
      <c r="FP286" s="89"/>
      <c r="FQ286" s="89"/>
      <c r="FR286" s="89"/>
      <c r="FS286" s="89"/>
      <c r="FT286" s="89"/>
      <c r="FU286" s="89"/>
    </row>
    <row r="287" spans="10:177" s="1" customFormat="1" ht="15.75"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  <c r="EL287" s="89"/>
      <c r="EM287" s="89"/>
      <c r="EN287" s="89"/>
      <c r="EO287" s="89"/>
      <c r="EP287" s="89"/>
      <c r="EQ287" s="89"/>
      <c r="ER287" s="89"/>
      <c r="ES287" s="89"/>
      <c r="ET287" s="89"/>
      <c r="EU287" s="89"/>
      <c r="EV287" s="89"/>
      <c r="EW287" s="89"/>
      <c r="EX287" s="89"/>
      <c r="EY287" s="89"/>
      <c r="EZ287" s="89"/>
      <c r="FA287" s="89"/>
      <c r="FB287" s="89"/>
      <c r="FC287" s="89"/>
      <c r="FD287" s="89"/>
      <c r="FE287" s="89"/>
      <c r="FF287" s="89"/>
      <c r="FG287" s="89"/>
      <c r="FH287" s="89"/>
      <c r="FI287" s="89"/>
      <c r="FJ287" s="89"/>
      <c r="FK287" s="89"/>
      <c r="FL287" s="89"/>
      <c r="FM287" s="89"/>
      <c r="FN287" s="89"/>
      <c r="FO287" s="89"/>
      <c r="FP287" s="89"/>
      <c r="FQ287" s="89"/>
      <c r="FR287" s="89"/>
      <c r="FS287" s="89"/>
      <c r="FT287" s="89"/>
      <c r="FU287" s="89"/>
    </row>
    <row r="288" spans="10:177" s="1" customFormat="1" ht="15.75"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  <c r="EB288" s="89"/>
      <c r="EC288" s="89"/>
      <c r="ED288" s="89"/>
      <c r="EE288" s="89"/>
      <c r="EF288" s="89"/>
      <c r="EG288" s="89"/>
      <c r="EH288" s="89"/>
      <c r="EI288" s="89"/>
      <c r="EJ288" s="89"/>
      <c r="EK288" s="89"/>
      <c r="EL288" s="89"/>
      <c r="EM288" s="89"/>
      <c r="EN288" s="89"/>
      <c r="EO288" s="89"/>
      <c r="EP288" s="89"/>
      <c r="EQ288" s="89"/>
      <c r="ER288" s="89"/>
      <c r="ES288" s="89"/>
      <c r="ET288" s="89"/>
      <c r="EU288" s="89"/>
      <c r="EV288" s="89"/>
      <c r="EW288" s="89"/>
      <c r="EX288" s="89"/>
      <c r="EY288" s="89"/>
      <c r="EZ288" s="89"/>
      <c r="FA288" s="89"/>
      <c r="FB288" s="89"/>
      <c r="FC288" s="89"/>
      <c r="FD288" s="89"/>
      <c r="FE288" s="89"/>
      <c r="FF288" s="89"/>
      <c r="FG288" s="89"/>
      <c r="FH288" s="89"/>
      <c r="FI288" s="89"/>
      <c r="FJ288" s="89"/>
      <c r="FK288" s="89"/>
      <c r="FL288" s="89"/>
      <c r="FM288" s="89"/>
      <c r="FN288" s="89"/>
      <c r="FO288" s="89"/>
      <c r="FP288" s="89"/>
      <c r="FQ288" s="89"/>
      <c r="FR288" s="89"/>
      <c r="FS288" s="89"/>
      <c r="FT288" s="89"/>
      <c r="FU288" s="89"/>
    </row>
    <row r="289" spans="10:177" s="1" customFormat="1" ht="15.75"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  <c r="EB289" s="89"/>
      <c r="EC289" s="89"/>
      <c r="ED289" s="89"/>
      <c r="EE289" s="89"/>
      <c r="EF289" s="89"/>
      <c r="EG289" s="89"/>
      <c r="EH289" s="89"/>
      <c r="EI289" s="89"/>
      <c r="EJ289" s="89"/>
      <c r="EK289" s="89"/>
      <c r="EL289" s="89"/>
      <c r="EM289" s="89"/>
      <c r="EN289" s="89"/>
      <c r="EO289" s="89"/>
      <c r="EP289" s="89"/>
      <c r="EQ289" s="89"/>
      <c r="ER289" s="89"/>
      <c r="ES289" s="89"/>
      <c r="ET289" s="89"/>
      <c r="EU289" s="89"/>
      <c r="EV289" s="89"/>
      <c r="EW289" s="89"/>
      <c r="EX289" s="89"/>
      <c r="EY289" s="89"/>
      <c r="EZ289" s="89"/>
      <c r="FA289" s="89"/>
      <c r="FB289" s="89"/>
      <c r="FC289" s="89"/>
      <c r="FD289" s="89"/>
      <c r="FE289" s="89"/>
      <c r="FF289" s="89"/>
      <c r="FG289" s="89"/>
      <c r="FH289" s="89"/>
      <c r="FI289" s="89"/>
      <c r="FJ289" s="89"/>
      <c r="FK289" s="89"/>
      <c r="FL289" s="89"/>
      <c r="FM289" s="89"/>
      <c r="FN289" s="89"/>
      <c r="FO289" s="89"/>
      <c r="FP289" s="89"/>
      <c r="FQ289" s="89"/>
      <c r="FR289" s="89"/>
      <c r="FS289" s="89"/>
      <c r="FT289" s="89"/>
      <c r="FU289" s="89"/>
    </row>
    <row r="290" spans="10:177" s="1" customFormat="1" ht="15.75"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  <c r="CR290" s="89"/>
      <c r="CS290" s="89"/>
      <c r="CT290" s="89"/>
      <c r="CU290" s="89"/>
      <c r="CV290" s="89"/>
      <c r="CW290" s="89"/>
      <c r="CX290" s="89"/>
      <c r="CY290" s="89"/>
      <c r="CZ290" s="89"/>
      <c r="DA290" s="89"/>
      <c r="DB290" s="89"/>
      <c r="DC290" s="89"/>
      <c r="DD290" s="89"/>
      <c r="DE290" s="89"/>
      <c r="DF290" s="89"/>
      <c r="DG290" s="89"/>
      <c r="DH290" s="89"/>
      <c r="DI290" s="89"/>
      <c r="DJ290" s="89"/>
      <c r="DK290" s="89"/>
      <c r="DL290" s="89"/>
      <c r="DM290" s="89"/>
      <c r="DN290" s="89"/>
      <c r="DO290" s="89"/>
      <c r="DP290" s="89"/>
      <c r="DQ290" s="89"/>
      <c r="DR290" s="89"/>
      <c r="DS290" s="89"/>
      <c r="DT290" s="89"/>
      <c r="DU290" s="89"/>
      <c r="DV290" s="89"/>
      <c r="DW290" s="89"/>
      <c r="DX290" s="89"/>
      <c r="DY290" s="89"/>
      <c r="DZ290" s="89"/>
      <c r="EA290" s="89"/>
      <c r="EB290" s="89"/>
      <c r="EC290" s="89"/>
      <c r="ED290" s="89"/>
      <c r="EE290" s="89"/>
      <c r="EF290" s="89"/>
      <c r="EG290" s="89"/>
      <c r="EH290" s="89"/>
      <c r="EI290" s="89"/>
      <c r="EJ290" s="89"/>
      <c r="EK290" s="89"/>
      <c r="EL290" s="89"/>
      <c r="EM290" s="89"/>
      <c r="EN290" s="89"/>
      <c r="EO290" s="89"/>
      <c r="EP290" s="89"/>
      <c r="EQ290" s="89"/>
      <c r="ER290" s="89"/>
      <c r="ES290" s="89"/>
      <c r="ET290" s="89"/>
      <c r="EU290" s="89"/>
      <c r="EV290" s="89"/>
      <c r="EW290" s="89"/>
      <c r="EX290" s="89"/>
      <c r="EY290" s="89"/>
      <c r="EZ290" s="89"/>
      <c r="FA290" s="89"/>
      <c r="FB290" s="89"/>
      <c r="FC290" s="89"/>
      <c r="FD290" s="89"/>
      <c r="FE290" s="89"/>
      <c r="FF290" s="89"/>
      <c r="FG290" s="89"/>
      <c r="FH290" s="89"/>
      <c r="FI290" s="89"/>
      <c r="FJ290" s="89"/>
      <c r="FK290" s="89"/>
      <c r="FL290" s="89"/>
      <c r="FM290" s="89"/>
      <c r="FN290" s="89"/>
      <c r="FO290" s="89"/>
      <c r="FP290" s="89"/>
      <c r="FQ290" s="89"/>
      <c r="FR290" s="89"/>
      <c r="FS290" s="89"/>
      <c r="FT290" s="89"/>
      <c r="FU290" s="89"/>
    </row>
    <row r="291" spans="10:177" s="1" customFormat="1" ht="15.75"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  <c r="CR291" s="89"/>
      <c r="CS291" s="89"/>
      <c r="CT291" s="89"/>
      <c r="CU291" s="89"/>
      <c r="CV291" s="89"/>
      <c r="CW291" s="89"/>
      <c r="CX291" s="89"/>
      <c r="CY291" s="89"/>
      <c r="CZ291" s="89"/>
      <c r="DA291" s="89"/>
      <c r="DB291" s="89"/>
      <c r="DC291" s="89"/>
      <c r="DD291" s="89"/>
      <c r="DE291" s="89"/>
      <c r="DF291" s="89"/>
      <c r="DG291" s="89"/>
      <c r="DH291" s="89"/>
      <c r="DI291" s="89"/>
      <c r="DJ291" s="89"/>
      <c r="DK291" s="89"/>
      <c r="DL291" s="89"/>
      <c r="DM291" s="89"/>
      <c r="DN291" s="89"/>
      <c r="DO291" s="89"/>
      <c r="DP291" s="89"/>
      <c r="DQ291" s="89"/>
      <c r="DR291" s="89"/>
      <c r="DS291" s="89"/>
      <c r="DT291" s="89"/>
      <c r="DU291" s="89"/>
      <c r="DV291" s="89"/>
      <c r="DW291" s="89"/>
      <c r="DX291" s="89"/>
      <c r="DY291" s="89"/>
      <c r="DZ291" s="89"/>
      <c r="EA291" s="89"/>
      <c r="EB291" s="89"/>
      <c r="EC291" s="89"/>
      <c r="ED291" s="89"/>
      <c r="EE291" s="89"/>
      <c r="EF291" s="89"/>
      <c r="EG291" s="89"/>
      <c r="EH291" s="89"/>
      <c r="EI291" s="89"/>
      <c r="EJ291" s="89"/>
      <c r="EK291" s="89"/>
      <c r="EL291" s="89"/>
      <c r="EM291" s="89"/>
      <c r="EN291" s="89"/>
      <c r="EO291" s="89"/>
      <c r="EP291" s="89"/>
      <c r="EQ291" s="89"/>
      <c r="ER291" s="89"/>
      <c r="ES291" s="89"/>
      <c r="ET291" s="89"/>
      <c r="EU291" s="89"/>
      <c r="EV291" s="89"/>
      <c r="EW291" s="89"/>
      <c r="EX291" s="89"/>
      <c r="EY291" s="89"/>
      <c r="EZ291" s="89"/>
      <c r="FA291" s="89"/>
      <c r="FB291" s="89"/>
      <c r="FC291" s="89"/>
      <c r="FD291" s="89"/>
      <c r="FE291" s="89"/>
      <c r="FF291" s="89"/>
      <c r="FG291" s="89"/>
      <c r="FH291" s="89"/>
      <c r="FI291" s="89"/>
      <c r="FJ291" s="89"/>
      <c r="FK291" s="89"/>
      <c r="FL291" s="89"/>
      <c r="FM291" s="89"/>
      <c r="FN291" s="89"/>
      <c r="FO291" s="89"/>
      <c r="FP291" s="89"/>
      <c r="FQ291" s="89"/>
      <c r="FR291" s="89"/>
      <c r="FS291" s="89"/>
      <c r="FT291" s="89"/>
      <c r="FU291" s="89"/>
    </row>
    <row r="292" spans="10:177" s="1" customFormat="1" ht="15.75"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  <c r="CR292" s="89"/>
      <c r="CS292" s="89"/>
      <c r="CT292" s="89"/>
      <c r="CU292" s="89"/>
      <c r="CV292" s="89"/>
      <c r="CW292" s="89"/>
      <c r="CX292" s="89"/>
      <c r="CY292" s="89"/>
      <c r="CZ292" s="89"/>
      <c r="DA292" s="89"/>
      <c r="DB292" s="89"/>
      <c r="DC292" s="89"/>
      <c r="DD292" s="89"/>
      <c r="DE292" s="89"/>
      <c r="DF292" s="89"/>
      <c r="DG292" s="89"/>
      <c r="DH292" s="89"/>
      <c r="DI292" s="89"/>
      <c r="DJ292" s="89"/>
      <c r="DK292" s="89"/>
      <c r="DL292" s="89"/>
      <c r="DM292" s="89"/>
      <c r="DN292" s="89"/>
      <c r="DO292" s="89"/>
      <c r="DP292" s="89"/>
      <c r="DQ292" s="89"/>
      <c r="DR292" s="89"/>
      <c r="DS292" s="89"/>
      <c r="DT292" s="89"/>
      <c r="DU292" s="89"/>
      <c r="DV292" s="89"/>
      <c r="DW292" s="89"/>
      <c r="DX292" s="89"/>
      <c r="DY292" s="89"/>
      <c r="DZ292" s="89"/>
      <c r="EA292" s="89"/>
      <c r="EB292" s="89"/>
      <c r="EC292" s="89"/>
      <c r="ED292" s="89"/>
      <c r="EE292" s="89"/>
      <c r="EF292" s="89"/>
      <c r="EG292" s="89"/>
      <c r="EH292" s="89"/>
      <c r="EI292" s="89"/>
      <c r="EJ292" s="89"/>
      <c r="EK292" s="89"/>
      <c r="EL292" s="89"/>
      <c r="EM292" s="89"/>
      <c r="EN292" s="89"/>
      <c r="EO292" s="89"/>
      <c r="EP292" s="89"/>
      <c r="EQ292" s="89"/>
      <c r="ER292" s="89"/>
      <c r="ES292" s="89"/>
      <c r="ET292" s="89"/>
      <c r="EU292" s="89"/>
      <c r="EV292" s="89"/>
      <c r="EW292" s="89"/>
      <c r="EX292" s="89"/>
      <c r="EY292" s="89"/>
      <c r="EZ292" s="89"/>
      <c r="FA292" s="89"/>
      <c r="FB292" s="89"/>
      <c r="FC292" s="89"/>
      <c r="FD292" s="89"/>
      <c r="FE292" s="89"/>
      <c r="FF292" s="89"/>
      <c r="FG292" s="89"/>
      <c r="FH292" s="89"/>
      <c r="FI292" s="89"/>
      <c r="FJ292" s="89"/>
      <c r="FK292" s="89"/>
      <c r="FL292" s="89"/>
      <c r="FM292" s="89"/>
      <c r="FN292" s="89"/>
      <c r="FO292" s="89"/>
      <c r="FP292" s="89"/>
      <c r="FQ292" s="89"/>
      <c r="FR292" s="89"/>
      <c r="FS292" s="89"/>
      <c r="FT292" s="89"/>
      <c r="FU292" s="89"/>
    </row>
    <row r="293" spans="10:177" s="1" customFormat="1" ht="15.75"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  <c r="CR293" s="89"/>
      <c r="CS293" s="89"/>
      <c r="CT293" s="89"/>
      <c r="CU293" s="89"/>
      <c r="CV293" s="89"/>
      <c r="CW293" s="89"/>
      <c r="CX293" s="89"/>
      <c r="CY293" s="89"/>
      <c r="CZ293" s="89"/>
      <c r="DA293" s="89"/>
      <c r="DB293" s="89"/>
      <c r="DC293" s="89"/>
      <c r="DD293" s="89"/>
      <c r="DE293" s="89"/>
      <c r="DF293" s="89"/>
      <c r="DG293" s="89"/>
      <c r="DH293" s="89"/>
      <c r="DI293" s="89"/>
      <c r="DJ293" s="89"/>
      <c r="DK293" s="89"/>
      <c r="DL293" s="89"/>
      <c r="DM293" s="89"/>
      <c r="DN293" s="89"/>
      <c r="DO293" s="89"/>
      <c r="DP293" s="89"/>
      <c r="DQ293" s="89"/>
      <c r="DR293" s="89"/>
      <c r="DS293" s="89"/>
      <c r="DT293" s="89"/>
      <c r="DU293" s="89"/>
      <c r="DV293" s="89"/>
      <c r="DW293" s="89"/>
      <c r="DX293" s="89"/>
      <c r="DY293" s="89"/>
      <c r="DZ293" s="89"/>
      <c r="EA293" s="89"/>
      <c r="EB293" s="89"/>
      <c r="EC293" s="89"/>
      <c r="ED293" s="89"/>
      <c r="EE293" s="89"/>
      <c r="EF293" s="89"/>
      <c r="EG293" s="89"/>
      <c r="EH293" s="89"/>
      <c r="EI293" s="89"/>
      <c r="EJ293" s="89"/>
      <c r="EK293" s="89"/>
      <c r="EL293" s="89"/>
      <c r="EM293" s="89"/>
      <c r="EN293" s="89"/>
      <c r="EO293" s="89"/>
      <c r="EP293" s="89"/>
      <c r="EQ293" s="89"/>
      <c r="ER293" s="89"/>
      <c r="ES293" s="89"/>
      <c r="ET293" s="89"/>
      <c r="EU293" s="89"/>
      <c r="EV293" s="89"/>
      <c r="EW293" s="89"/>
      <c r="EX293" s="89"/>
      <c r="EY293" s="89"/>
      <c r="EZ293" s="89"/>
      <c r="FA293" s="89"/>
      <c r="FB293" s="89"/>
      <c r="FC293" s="89"/>
      <c r="FD293" s="89"/>
      <c r="FE293" s="89"/>
      <c r="FF293" s="89"/>
      <c r="FG293" s="89"/>
      <c r="FH293" s="89"/>
      <c r="FI293" s="89"/>
      <c r="FJ293" s="89"/>
      <c r="FK293" s="89"/>
      <c r="FL293" s="89"/>
      <c r="FM293" s="89"/>
      <c r="FN293" s="89"/>
      <c r="FO293" s="89"/>
      <c r="FP293" s="89"/>
      <c r="FQ293" s="89"/>
      <c r="FR293" s="89"/>
      <c r="FS293" s="89"/>
      <c r="FT293" s="89"/>
      <c r="FU293" s="89"/>
    </row>
    <row r="294" spans="10:177" s="1" customFormat="1" ht="15.75"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  <c r="CR294" s="89"/>
      <c r="CS294" s="89"/>
      <c r="CT294" s="89"/>
      <c r="CU294" s="89"/>
      <c r="CV294" s="89"/>
      <c r="CW294" s="89"/>
      <c r="CX294" s="89"/>
      <c r="CY294" s="89"/>
      <c r="CZ294" s="89"/>
      <c r="DA294" s="89"/>
      <c r="DB294" s="89"/>
      <c r="DC294" s="89"/>
      <c r="DD294" s="89"/>
      <c r="DE294" s="89"/>
      <c r="DF294" s="89"/>
      <c r="DG294" s="89"/>
      <c r="DH294" s="89"/>
      <c r="DI294" s="89"/>
      <c r="DJ294" s="89"/>
      <c r="DK294" s="89"/>
      <c r="DL294" s="89"/>
      <c r="DM294" s="89"/>
      <c r="DN294" s="89"/>
      <c r="DO294" s="89"/>
      <c r="DP294" s="89"/>
      <c r="DQ294" s="89"/>
      <c r="DR294" s="89"/>
      <c r="DS294" s="89"/>
      <c r="DT294" s="89"/>
      <c r="DU294" s="89"/>
      <c r="DV294" s="89"/>
      <c r="DW294" s="89"/>
      <c r="DX294" s="89"/>
      <c r="DY294" s="89"/>
      <c r="DZ294" s="89"/>
      <c r="EA294" s="89"/>
      <c r="EB294" s="89"/>
      <c r="EC294" s="89"/>
      <c r="ED294" s="89"/>
      <c r="EE294" s="89"/>
      <c r="EF294" s="89"/>
      <c r="EG294" s="89"/>
      <c r="EH294" s="89"/>
      <c r="EI294" s="89"/>
      <c r="EJ294" s="89"/>
      <c r="EK294" s="89"/>
      <c r="EL294" s="89"/>
      <c r="EM294" s="89"/>
      <c r="EN294" s="89"/>
      <c r="EO294" s="89"/>
      <c r="EP294" s="89"/>
      <c r="EQ294" s="89"/>
      <c r="ER294" s="89"/>
      <c r="ES294" s="89"/>
      <c r="ET294" s="89"/>
      <c r="EU294" s="89"/>
      <c r="EV294" s="89"/>
      <c r="EW294" s="89"/>
      <c r="EX294" s="89"/>
      <c r="EY294" s="89"/>
      <c r="EZ294" s="89"/>
      <c r="FA294" s="89"/>
      <c r="FB294" s="89"/>
      <c r="FC294" s="89"/>
      <c r="FD294" s="89"/>
      <c r="FE294" s="89"/>
      <c r="FF294" s="89"/>
      <c r="FG294" s="89"/>
      <c r="FH294" s="89"/>
      <c r="FI294" s="89"/>
      <c r="FJ294" s="89"/>
      <c r="FK294" s="89"/>
      <c r="FL294" s="89"/>
      <c r="FM294" s="89"/>
      <c r="FN294" s="89"/>
      <c r="FO294" s="89"/>
      <c r="FP294" s="89"/>
      <c r="FQ294" s="89"/>
      <c r="FR294" s="89"/>
      <c r="FS294" s="89"/>
      <c r="FT294" s="89"/>
      <c r="FU294" s="89"/>
    </row>
    <row r="295" spans="10:177" s="1" customFormat="1" ht="15.75"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  <c r="CR295" s="89"/>
      <c r="CS295" s="89"/>
      <c r="CT295" s="89"/>
      <c r="CU295" s="89"/>
      <c r="CV295" s="89"/>
      <c r="CW295" s="89"/>
      <c r="CX295" s="89"/>
      <c r="CY295" s="89"/>
      <c r="CZ295" s="89"/>
      <c r="DA295" s="89"/>
      <c r="DB295" s="89"/>
      <c r="DC295" s="89"/>
      <c r="DD295" s="89"/>
      <c r="DE295" s="89"/>
      <c r="DF295" s="89"/>
      <c r="DG295" s="89"/>
      <c r="DH295" s="89"/>
      <c r="DI295" s="89"/>
      <c r="DJ295" s="89"/>
      <c r="DK295" s="89"/>
      <c r="DL295" s="89"/>
      <c r="DM295" s="89"/>
      <c r="DN295" s="89"/>
      <c r="DO295" s="89"/>
      <c r="DP295" s="89"/>
      <c r="DQ295" s="89"/>
      <c r="DR295" s="89"/>
      <c r="DS295" s="89"/>
      <c r="DT295" s="89"/>
      <c r="DU295" s="89"/>
      <c r="DV295" s="89"/>
      <c r="DW295" s="89"/>
      <c r="DX295" s="89"/>
      <c r="DY295" s="89"/>
      <c r="DZ295" s="89"/>
      <c r="EA295" s="89"/>
      <c r="EB295" s="89"/>
      <c r="EC295" s="89"/>
      <c r="ED295" s="89"/>
      <c r="EE295" s="89"/>
      <c r="EF295" s="89"/>
      <c r="EG295" s="89"/>
      <c r="EH295" s="89"/>
      <c r="EI295" s="89"/>
      <c r="EJ295" s="89"/>
      <c r="EK295" s="89"/>
      <c r="EL295" s="89"/>
      <c r="EM295" s="89"/>
      <c r="EN295" s="89"/>
      <c r="EO295" s="89"/>
      <c r="EP295" s="89"/>
      <c r="EQ295" s="89"/>
      <c r="ER295" s="89"/>
      <c r="ES295" s="89"/>
      <c r="ET295" s="89"/>
      <c r="EU295" s="89"/>
      <c r="EV295" s="89"/>
      <c r="EW295" s="89"/>
      <c r="EX295" s="89"/>
      <c r="EY295" s="89"/>
      <c r="EZ295" s="89"/>
      <c r="FA295" s="89"/>
      <c r="FB295" s="89"/>
      <c r="FC295" s="89"/>
      <c r="FD295" s="89"/>
      <c r="FE295" s="89"/>
      <c r="FF295" s="89"/>
      <c r="FG295" s="89"/>
      <c r="FH295" s="89"/>
      <c r="FI295" s="89"/>
      <c r="FJ295" s="89"/>
      <c r="FK295" s="89"/>
      <c r="FL295" s="89"/>
      <c r="FM295" s="89"/>
      <c r="FN295" s="89"/>
      <c r="FO295" s="89"/>
      <c r="FP295" s="89"/>
      <c r="FQ295" s="89"/>
      <c r="FR295" s="89"/>
      <c r="FS295" s="89"/>
      <c r="FT295" s="89"/>
      <c r="FU295" s="89"/>
    </row>
    <row r="296" spans="10:177" s="1" customFormat="1" ht="15.75"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  <c r="CR296" s="89"/>
      <c r="CS296" s="89"/>
      <c r="CT296" s="89"/>
      <c r="CU296" s="89"/>
      <c r="CV296" s="89"/>
      <c r="CW296" s="89"/>
      <c r="CX296" s="89"/>
      <c r="CY296" s="89"/>
      <c r="CZ296" s="89"/>
      <c r="DA296" s="89"/>
      <c r="DB296" s="89"/>
      <c r="DC296" s="89"/>
      <c r="DD296" s="89"/>
      <c r="DE296" s="89"/>
      <c r="DF296" s="89"/>
      <c r="DG296" s="89"/>
      <c r="DH296" s="89"/>
      <c r="DI296" s="89"/>
      <c r="DJ296" s="89"/>
      <c r="DK296" s="89"/>
      <c r="DL296" s="89"/>
      <c r="DM296" s="89"/>
      <c r="DN296" s="89"/>
      <c r="DO296" s="89"/>
      <c r="DP296" s="89"/>
      <c r="DQ296" s="89"/>
      <c r="DR296" s="89"/>
      <c r="DS296" s="89"/>
      <c r="DT296" s="89"/>
      <c r="DU296" s="89"/>
      <c r="DV296" s="89"/>
      <c r="DW296" s="89"/>
      <c r="DX296" s="89"/>
      <c r="DY296" s="89"/>
      <c r="DZ296" s="89"/>
      <c r="EA296" s="89"/>
      <c r="EB296" s="89"/>
      <c r="EC296" s="89"/>
      <c r="ED296" s="89"/>
      <c r="EE296" s="89"/>
      <c r="EF296" s="89"/>
      <c r="EG296" s="89"/>
      <c r="EH296" s="89"/>
      <c r="EI296" s="89"/>
      <c r="EJ296" s="89"/>
      <c r="EK296" s="89"/>
      <c r="EL296" s="89"/>
      <c r="EM296" s="89"/>
      <c r="EN296" s="89"/>
      <c r="EO296" s="89"/>
      <c r="EP296" s="89"/>
      <c r="EQ296" s="89"/>
      <c r="ER296" s="89"/>
      <c r="ES296" s="89"/>
      <c r="ET296" s="89"/>
      <c r="EU296" s="89"/>
      <c r="EV296" s="89"/>
      <c r="EW296" s="89"/>
      <c r="EX296" s="89"/>
      <c r="EY296" s="89"/>
      <c r="EZ296" s="89"/>
      <c r="FA296" s="89"/>
      <c r="FB296" s="89"/>
      <c r="FC296" s="89"/>
      <c r="FD296" s="89"/>
      <c r="FE296" s="89"/>
      <c r="FF296" s="89"/>
      <c r="FG296" s="89"/>
      <c r="FH296" s="89"/>
      <c r="FI296" s="89"/>
      <c r="FJ296" s="89"/>
      <c r="FK296" s="89"/>
      <c r="FL296" s="89"/>
      <c r="FM296" s="89"/>
      <c r="FN296" s="89"/>
      <c r="FO296" s="89"/>
      <c r="FP296" s="89"/>
      <c r="FQ296" s="89"/>
      <c r="FR296" s="89"/>
      <c r="FS296" s="89"/>
      <c r="FT296" s="89"/>
      <c r="FU296" s="89"/>
    </row>
    <row r="297" spans="10:177" s="1" customFormat="1" ht="15.75"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  <c r="CR297" s="89"/>
      <c r="CS297" s="89"/>
      <c r="CT297" s="89"/>
      <c r="CU297" s="89"/>
      <c r="CV297" s="89"/>
      <c r="CW297" s="89"/>
      <c r="CX297" s="89"/>
      <c r="CY297" s="89"/>
      <c r="CZ297" s="89"/>
      <c r="DA297" s="89"/>
      <c r="DB297" s="89"/>
      <c r="DC297" s="89"/>
      <c r="DD297" s="89"/>
      <c r="DE297" s="89"/>
      <c r="DF297" s="89"/>
      <c r="DG297" s="89"/>
      <c r="DH297" s="89"/>
      <c r="DI297" s="89"/>
      <c r="DJ297" s="89"/>
      <c r="DK297" s="89"/>
      <c r="DL297" s="89"/>
      <c r="DM297" s="89"/>
      <c r="DN297" s="89"/>
      <c r="DO297" s="89"/>
      <c r="DP297" s="89"/>
      <c r="DQ297" s="89"/>
      <c r="DR297" s="89"/>
      <c r="DS297" s="89"/>
      <c r="DT297" s="89"/>
      <c r="DU297" s="89"/>
      <c r="DV297" s="89"/>
      <c r="DW297" s="89"/>
      <c r="DX297" s="89"/>
      <c r="DY297" s="89"/>
      <c r="DZ297" s="89"/>
      <c r="EA297" s="89"/>
      <c r="EB297" s="89"/>
      <c r="EC297" s="89"/>
      <c r="ED297" s="89"/>
      <c r="EE297" s="89"/>
      <c r="EF297" s="89"/>
      <c r="EG297" s="89"/>
      <c r="EH297" s="89"/>
      <c r="EI297" s="89"/>
      <c r="EJ297" s="89"/>
      <c r="EK297" s="89"/>
      <c r="EL297" s="89"/>
      <c r="EM297" s="89"/>
      <c r="EN297" s="89"/>
      <c r="EO297" s="89"/>
      <c r="EP297" s="89"/>
      <c r="EQ297" s="89"/>
      <c r="ER297" s="89"/>
      <c r="ES297" s="89"/>
      <c r="ET297" s="89"/>
      <c r="EU297" s="89"/>
      <c r="EV297" s="89"/>
      <c r="EW297" s="89"/>
      <c r="EX297" s="89"/>
      <c r="EY297" s="89"/>
      <c r="EZ297" s="89"/>
      <c r="FA297" s="89"/>
      <c r="FB297" s="89"/>
      <c r="FC297" s="89"/>
      <c r="FD297" s="89"/>
      <c r="FE297" s="89"/>
      <c r="FF297" s="89"/>
      <c r="FG297" s="89"/>
      <c r="FH297" s="89"/>
      <c r="FI297" s="89"/>
      <c r="FJ297" s="89"/>
      <c r="FK297" s="89"/>
      <c r="FL297" s="89"/>
      <c r="FM297" s="89"/>
      <c r="FN297" s="89"/>
      <c r="FO297" s="89"/>
      <c r="FP297" s="89"/>
      <c r="FQ297" s="89"/>
      <c r="FR297" s="89"/>
      <c r="FS297" s="89"/>
      <c r="FT297" s="89"/>
      <c r="FU297" s="89"/>
    </row>
    <row r="298" spans="10:177" s="1" customFormat="1" ht="15.75"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  <c r="CR298" s="89"/>
      <c r="CS298" s="89"/>
      <c r="CT298" s="89"/>
      <c r="CU298" s="89"/>
      <c r="CV298" s="89"/>
      <c r="CW298" s="89"/>
      <c r="CX298" s="89"/>
      <c r="CY298" s="89"/>
      <c r="CZ298" s="89"/>
      <c r="DA298" s="89"/>
      <c r="DB298" s="89"/>
      <c r="DC298" s="89"/>
      <c r="DD298" s="89"/>
      <c r="DE298" s="89"/>
      <c r="DF298" s="89"/>
      <c r="DG298" s="89"/>
      <c r="DH298" s="89"/>
      <c r="DI298" s="89"/>
      <c r="DJ298" s="89"/>
      <c r="DK298" s="89"/>
      <c r="DL298" s="89"/>
      <c r="DM298" s="89"/>
      <c r="DN298" s="89"/>
      <c r="DO298" s="89"/>
      <c r="DP298" s="89"/>
      <c r="DQ298" s="89"/>
      <c r="DR298" s="89"/>
      <c r="DS298" s="89"/>
      <c r="DT298" s="89"/>
      <c r="DU298" s="89"/>
      <c r="DV298" s="89"/>
      <c r="DW298" s="89"/>
      <c r="DX298" s="89"/>
      <c r="DY298" s="89"/>
      <c r="DZ298" s="89"/>
      <c r="EA298" s="89"/>
      <c r="EB298" s="89"/>
      <c r="EC298" s="89"/>
      <c r="ED298" s="89"/>
      <c r="EE298" s="89"/>
      <c r="EF298" s="89"/>
      <c r="EG298" s="89"/>
      <c r="EH298" s="89"/>
      <c r="EI298" s="89"/>
      <c r="EJ298" s="89"/>
      <c r="EK298" s="89"/>
      <c r="EL298" s="89"/>
      <c r="EM298" s="89"/>
      <c r="EN298" s="89"/>
      <c r="EO298" s="89"/>
      <c r="EP298" s="89"/>
      <c r="EQ298" s="89"/>
      <c r="ER298" s="89"/>
      <c r="ES298" s="89"/>
      <c r="ET298" s="89"/>
      <c r="EU298" s="89"/>
      <c r="EV298" s="89"/>
      <c r="EW298" s="89"/>
      <c r="EX298" s="89"/>
      <c r="EY298" s="89"/>
      <c r="EZ298" s="89"/>
      <c r="FA298" s="89"/>
      <c r="FB298" s="89"/>
      <c r="FC298" s="89"/>
      <c r="FD298" s="89"/>
      <c r="FE298" s="89"/>
      <c r="FF298" s="89"/>
      <c r="FG298" s="89"/>
      <c r="FH298" s="89"/>
      <c r="FI298" s="89"/>
      <c r="FJ298" s="89"/>
      <c r="FK298" s="89"/>
      <c r="FL298" s="89"/>
      <c r="FM298" s="89"/>
      <c r="FN298" s="89"/>
      <c r="FO298" s="89"/>
      <c r="FP298" s="89"/>
      <c r="FQ298" s="89"/>
      <c r="FR298" s="89"/>
      <c r="FS298" s="89"/>
      <c r="FT298" s="89"/>
      <c r="FU298" s="89"/>
    </row>
    <row r="299" spans="10:177" s="1" customFormat="1" ht="15.75"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  <c r="CR299" s="89"/>
      <c r="CS299" s="89"/>
      <c r="CT299" s="89"/>
      <c r="CU299" s="89"/>
      <c r="CV299" s="89"/>
      <c r="CW299" s="89"/>
      <c r="CX299" s="89"/>
      <c r="CY299" s="89"/>
      <c r="CZ299" s="89"/>
      <c r="DA299" s="89"/>
      <c r="DB299" s="89"/>
      <c r="DC299" s="89"/>
      <c r="DD299" s="89"/>
      <c r="DE299" s="89"/>
      <c r="DF299" s="89"/>
      <c r="DG299" s="89"/>
      <c r="DH299" s="89"/>
      <c r="DI299" s="89"/>
      <c r="DJ299" s="89"/>
      <c r="DK299" s="89"/>
      <c r="DL299" s="89"/>
      <c r="DM299" s="89"/>
      <c r="DN299" s="89"/>
      <c r="DO299" s="89"/>
      <c r="DP299" s="89"/>
      <c r="DQ299" s="89"/>
      <c r="DR299" s="89"/>
      <c r="DS299" s="89"/>
      <c r="DT299" s="89"/>
      <c r="DU299" s="89"/>
      <c r="DV299" s="89"/>
      <c r="DW299" s="89"/>
      <c r="DX299" s="89"/>
      <c r="DY299" s="89"/>
      <c r="DZ299" s="89"/>
      <c r="EA299" s="89"/>
      <c r="EB299" s="89"/>
      <c r="EC299" s="89"/>
      <c r="ED299" s="89"/>
      <c r="EE299" s="89"/>
      <c r="EF299" s="89"/>
      <c r="EG299" s="89"/>
      <c r="EH299" s="89"/>
      <c r="EI299" s="89"/>
      <c r="EJ299" s="89"/>
      <c r="EK299" s="89"/>
      <c r="EL299" s="89"/>
      <c r="EM299" s="89"/>
      <c r="EN299" s="89"/>
      <c r="EO299" s="89"/>
      <c r="EP299" s="89"/>
      <c r="EQ299" s="89"/>
      <c r="ER299" s="89"/>
      <c r="ES299" s="89"/>
      <c r="ET299" s="89"/>
      <c r="EU299" s="89"/>
      <c r="EV299" s="89"/>
      <c r="EW299" s="89"/>
      <c r="EX299" s="89"/>
      <c r="EY299" s="89"/>
      <c r="EZ299" s="89"/>
      <c r="FA299" s="89"/>
      <c r="FB299" s="89"/>
      <c r="FC299" s="89"/>
      <c r="FD299" s="89"/>
      <c r="FE299" s="89"/>
      <c r="FF299" s="89"/>
      <c r="FG299" s="89"/>
      <c r="FH299" s="89"/>
      <c r="FI299" s="89"/>
      <c r="FJ299" s="89"/>
      <c r="FK299" s="89"/>
      <c r="FL299" s="89"/>
      <c r="FM299" s="89"/>
      <c r="FN299" s="89"/>
      <c r="FO299" s="89"/>
      <c r="FP299" s="89"/>
      <c r="FQ299" s="89"/>
      <c r="FR299" s="89"/>
      <c r="FS299" s="89"/>
      <c r="FT299" s="89"/>
      <c r="FU299" s="89"/>
    </row>
    <row r="300" spans="10:177" s="1" customFormat="1" ht="15.75"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  <c r="CR300" s="89"/>
      <c r="CS300" s="89"/>
      <c r="CT300" s="89"/>
      <c r="CU300" s="89"/>
      <c r="CV300" s="89"/>
      <c r="CW300" s="89"/>
      <c r="CX300" s="89"/>
      <c r="CY300" s="89"/>
      <c r="CZ300" s="89"/>
      <c r="DA300" s="89"/>
      <c r="DB300" s="89"/>
      <c r="DC300" s="89"/>
      <c r="DD300" s="89"/>
      <c r="DE300" s="89"/>
      <c r="DF300" s="89"/>
      <c r="DG300" s="89"/>
      <c r="DH300" s="89"/>
      <c r="DI300" s="89"/>
      <c r="DJ300" s="89"/>
      <c r="DK300" s="89"/>
      <c r="DL300" s="89"/>
      <c r="DM300" s="89"/>
      <c r="DN300" s="89"/>
      <c r="DO300" s="89"/>
      <c r="DP300" s="89"/>
      <c r="DQ300" s="89"/>
      <c r="DR300" s="89"/>
      <c r="DS300" s="89"/>
      <c r="DT300" s="89"/>
      <c r="DU300" s="89"/>
      <c r="DV300" s="89"/>
      <c r="DW300" s="89"/>
      <c r="DX300" s="89"/>
      <c r="DY300" s="89"/>
      <c r="DZ300" s="89"/>
      <c r="EA300" s="89"/>
      <c r="EB300" s="89"/>
      <c r="EC300" s="89"/>
      <c r="ED300" s="89"/>
      <c r="EE300" s="89"/>
      <c r="EF300" s="89"/>
      <c r="EG300" s="89"/>
      <c r="EH300" s="89"/>
      <c r="EI300" s="89"/>
      <c r="EJ300" s="89"/>
      <c r="EK300" s="89"/>
      <c r="EL300" s="89"/>
      <c r="EM300" s="89"/>
      <c r="EN300" s="89"/>
      <c r="EO300" s="89"/>
      <c r="EP300" s="89"/>
      <c r="EQ300" s="89"/>
      <c r="ER300" s="89"/>
      <c r="ES300" s="89"/>
      <c r="ET300" s="89"/>
      <c r="EU300" s="89"/>
      <c r="EV300" s="89"/>
      <c r="EW300" s="89"/>
      <c r="EX300" s="89"/>
      <c r="EY300" s="89"/>
      <c r="EZ300" s="89"/>
      <c r="FA300" s="89"/>
      <c r="FB300" s="89"/>
      <c r="FC300" s="89"/>
      <c r="FD300" s="89"/>
      <c r="FE300" s="89"/>
      <c r="FF300" s="89"/>
      <c r="FG300" s="89"/>
      <c r="FH300" s="89"/>
      <c r="FI300" s="89"/>
      <c r="FJ300" s="89"/>
      <c r="FK300" s="89"/>
      <c r="FL300" s="89"/>
      <c r="FM300" s="89"/>
      <c r="FN300" s="89"/>
      <c r="FO300" s="89"/>
      <c r="FP300" s="89"/>
      <c r="FQ300" s="89"/>
      <c r="FR300" s="89"/>
      <c r="FS300" s="89"/>
      <c r="FT300" s="89"/>
      <c r="FU300" s="89"/>
    </row>
    <row r="301" spans="10:177" s="1" customFormat="1" ht="15.75"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  <c r="CR301" s="89"/>
      <c r="CS301" s="89"/>
      <c r="CT301" s="89"/>
      <c r="CU301" s="89"/>
      <c r="CV301" s="89"/>
      <c r="CW301" s="89"/>
      <c r="CX301" s="89"/>
      <c r="CY301" s="89"/>
      <c r="CZ301" s="89"/>
      <c r="DA301" s="89"/>
      <c r="DB301" s="89"/>
      <c r="DC301" s="89"/>
      <c r="DD301" s="89"/>
      <c r="DE301" s="89"/>
      <c r="DF301" s="89"/>
      <c r="DG301" s="89"/>
      <c r="DH301" s="89"/>
      <c r="DI301" s="89"/>
      <c r="DJ301" s="89"/>
      <c r="DK301" s="89"/>
      <c r="DL301" s="89"/>
      <c r="DM301" s="89"/>
      <c r="DN301" s="89"/>
      <c r="DO301" s="89"/>
      <c r="DP301" s="89"/>
      <c r="DQ301" s="89"/>
      <c r="DR301" s="89"/>
      <c r="DS301" s="89"/>
      <c r="DT301" s="89"/>
      <c r="DU301" s="89"/>
      <c r="DV301" s="89"/>
      <c r="DW301" s="89"/>
      <c r="DX301" s="89"/>
      <c r="DY301" s="89"/>
      <c r="DZ301" s="89"/>
      <c r="EA301" s="89"/>
      <c r="EB301" s="89"/>
      <c r="EC301" s="89"/>
      <c r="ED301" s="89"/>
      <c r="EE301" s="89"/>
      <c r="EF301" s="89"/>
      <c r="EG301" s="89"/>
      <c r="EH301" s="89"/>
      <c r="EI301" s="89"/>
      <c r="EJ301" s="89"/>
      <c r="EK301" s="89"/>
      <c r="EL301" s="89"/>
      <c r="EM301" s="89"/>
      <c r="EN301" s="89"/>
      <c r="EO301" s="89"/>
      <c r="EP301" s="89"/>
      <c r="EQ301" s="89"/>
      <c r="ER301" s="89"/>
      <c r="ES301" s="89"/>
      <c r="ET301" s="89"/>
      <c r="EU301" s="89"/>
      <c r="EV301" s="89"/>
      <c r="EW301" s="89"/>
      <c r="EX301" s="89"/>
      <c r="EY301" s="89"/>
      <c r="EZ301" s="89"/>
      <c r="FA301" s="89"/>
      <c r="FB301" s="89"/>
      <c r="FC301" s="89"/>
      <c r="FD301" s="89"/>
      <c r="FE301" s="89"/>
      <c r="FF301" s="89"/>
      <c r="FG301" s="89"/>
      <c r="FH301" s="89"/>
      <c r="FI301" s="89"/>
      <c r="FJ301" s="89"/>
      <c r="FK301" s="89"/>
      <c r="FL301" s="89"/>
      <c r="FM301" s="89"/>
      <c r="FN301" s="89"/>
      <c r="FO301" s="89"/>
      <c r="FP301" s="89"/>
      <c r="FQ301" s="89"/>
      <c r="FR301" s="89"/>
      <c r="FS301" s="89"/>
      <c r="FT301" s="89"/>
      <c r="FU301" s="89"/>
    </row>
    <row r="302" spans="10:177" s="1" customFormat="1" ht="15.75"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  <c r="CR302" s="89"/>
      <c r="CS302" s="89"/>
      <c r="CT302" s="89"/>
      <c r="CU302" s="89"/>
      <c r="CV302" s="89"/>
      <c r="CW302" s="89"/>
      <c r="CX302" s="89"/>
      <c r="CY302" s="89"/>
      <c r="CZ302" s="89"/>
      <c r="DA302" s="89"/>
      <c r="DB302" s="89"/>
      <c r="DC302" s="89"/>
      <c r="DD302" s="89"/>
      <c r="DE302" s="89"/>
      <c r="DF302" s="89"/>
      <c r="DG302" s="89"/>
      <c r="DH302" s="89"/>
      <c r="DI302" s="89"/>
      <c r="DJ302" s="89"/>
      <c r="DK302" s="89"/>
      <c r="DL302" s="89"/>
      <c r="DM302" s="89"/>
      <c r="DN302" s="89"/>
      <c r="DO302" s="89"/>
      <c r="DP302" s="89"/>
      <c r="DQ302" s="89"/>
      <c r="DR302" s="89"/>
      <c r="DS302" s="89"/>
      <c r="DT302" s="89"/>
      <c r="DU302" s="89"/>
      <c r="DV302" s="89"/>
      <c r="DW302" s="89"/>
      <c r="DX302" s="89"/>
      <c r="DY302" s="89"/>
      <c r="DZ302" s="89"/>
      <c r="EA302" s="89"/>
      <c r="EB302" s="89"/>
      <c r="EC302" s="89"/>
      <c r="ED302" s="89"/>
      <c r="EE302" s="89"/>
      <c r="EF302" s="89"/>
      <c r="EG302" s="89"/>
      <c r="EH302" s="89"/>
      <c r="EI302" s="89"/>
      <c r="EJ302" s="89"/>
      <c r="EK302" s="89"/>
      <c r="EL302" s="89"/>
      <c r="EM302" s="89"/>
      <c r="EN302" s="89"/>
      <c r="EO302" s="89"/>
      <c r="EP302" s="89"/>
      <c r="EQ302" s="89"/>
      <c r="ER302" s="89"/>
      <c r="ES302" s="89"/>
      <c r="ET302" s="89"/>
      <c r="EU302" s="89"/>
      <c r="EV302" s="89"/>
      <c r="EW302" s="89"/>
      <c r="EX302" s="89"/>
      <c r="EY302" s="89"/>
      <c r="EZ302" s="89"/>
      <c r="FA302" s="89"/>
      <c r="FB302" s="89"/>
      <c r="FC302" s="89"/>
      <c r="FD302" s="89"/>
      <c r="FE302" s="89"/>
      <c r="FF302" s="89"/>
      <c r="FG302" s="89"/>
      <c r="FH302" s="89"/>
      <c r="FI302" s="89"/>
      <c r="FJ302" s="89"/>
      <c r="FK302" s="89"/>
      <c r="FL302" s="89"/>
      <c r="FM302" s="89"/>
      <c r="FN302" s="89"/>
      <c r="FO302" s="89"/>
      <c r="FP302" s="89"/>
      <c r="FQ302" s="89"/>
      <c r="FR302" s="89"/>
      <c r="FS302" s="89"/>
      <c r="FT302" s="89"/>
      <c r="FU302" s="89"/>
    </row>
    <row r="303" spans="10:177" s="1" customFormat="1" ht="15.75"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  <c r="CR303" s="89"/>
      <c r="CS303" s="89"/>
      <c r="CT303" s="89"/>
      <c r="CU303" s="89"/>
      <c r="CV303" s="89"/>
      <c r="CW303" s="89"/>
      <c r="CX303" s="89"/>
      <c r="CY303" s="89"/>
      <c r="CZ303" s="89"/>
      <c r="DA303" s="89"/>
      <c r="DB303" s="89"/>
      <c r="DC303" s="89"/>
      <c r="DD303" s="89"/>
      <c r="DE303" s="89"/>
      <c r="DF303" s="89"/>
      <c r="DG303" s="89"/>
      <c r="DH303" s="89"/>
      <c r="DI303" s="89"/>
      <c r="DJ303" s="89"/>
      <c r="DK303" s="89"/>
      <c r="DL303" s="89"/>
      <c r="DM303" s="89"/>
      <c r="DN303" s="89"/>
      <c r="DO303" s="89"/>
      <c r="DP303" s="89"/>
      <c r="DQ303" s="89"/>
      <c r="DR303" s="89"/>
      <c r="DS303" s="89"/>
      <c r="DT303" s="89"/>
      <c r="DU303" s="89"/>
      <c r="DV303" s="89"/>
      <c r="DW303" s="89"/>
      <c r="DX303" s="89"/>
      <c r="DY303" s="89"/>
      <c r="DZ303" s="89"/>
      <c r="EA303" s="89"/>
      <c r="EB303" s="89"/>
      <c r="EC303" s="89"/>
      <c r="ED303" s="89"/>
      <c r="EE303" s="89"/>
      <c r="EF303" s="89"/>
      <c r="EG303" s="89"/>
      <c r="EH303" s="89"/>
      <c r="EI303" s="89"/>
      <c r="EJ303" s="89"/>
      <c r="EK303" s="89"/>
      <c r="EL303" s="89"/>
      <c r="EM303" s="89"/>
      <c r="EN303" s="89"/>
      <c r="EO303" s="89"/>
      <c r="EP303" s="89"/>
      <c r="EQ303" s="89"/>
      <c r="ER303" s="89"/>
      <c r="ES303" s="89"/>
      <c r="ET303" s="89"/>
      <c r="EU303" s="89"/>
      <c r="EV303" s="89"/>
      <c r="EW303" s="89"/>
      <c r="EX303" s="89"/>
      <c r="EY303" s="89"/>
      <c r="EZ303" s="89"/>
      <c r="FA303" s="89"/>
      <c r="FB303" s="89"/>
      <c r="FC303" s="89"/>
      <c r="FD303" s="89"/>
      <c r="FE303" s="89"/>
      <c r="FF303" s="89"/>
      <c r="FG303" s="89"/>
      <c r="FH303" s="89"/>
      <c r="FI303" s="89"/>
      <c r="FJ303" s="89"/>
      <c r="FK303" s="89"/>
      <c r="FL303" s="89"/>
      <c r="FM303" s="89"/>
      <c r="FN303" s="89"/>
      <c r="FO303" s="89"/>
      <c r="FP303" s="89"/>
      <c r="FQ303" s="89"/>
      <c r="FR303" s="89"/>
      <c r="FS303" s="89"/>
      <c r="FT303" s="89"/>
      <c r="FU303" s="89"/>
    </row>
    <row r="304" spans="10:177" s="1" customFormat="1" ht="15.75"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89"/>
      <c r="DF304" s="89"/>
      <c r="DG304" s="89"/>
      <c r="DH304" s="89"/>
      <c r="DI304" s="89"/>
      <c r="DJ304" s="89"/>
      <c r="DK304" s="89"/>
      <c r="DL304" s="89"/>
      <c r="DM304" s="89"/>
      <c r="DN304" s="89"/>
      <c r="DO304" s="89"/>
      <c r="DP304" s="89"/>
      <c r="DQ304" s="89"/>
      <c r="DR304" s="89"/>
      <c r="DS304" s="89"/>
      <c r="DT304" s="89"/>
      <c r="DU304" s="89"/>
      <c r="DV304" s="89"/>
      <c r="DW304" s="89"/>
      <c r="DX304" s="89"/>
      <c r="DY304" s="89"/>
      <c r="DZ304" s="89"/>
      <c r="EA304" s="89"/>
      <c r="EB304" s="89"/>
      <c r="EC304" s="89"/>
      <c r="ED304" s="89"/>
      <c r="EE304" s="89"/>
      <c r="EF304" s="89"/>
      <c r="EG304" s="89"/>
      <c r="EH304" s="89"/>
      <c r="EI304" s="89"/>
      <c r="EJ304" s="89"/>
      <c r="EK304" s="89"/>
      <c r="EL304" s="89"/>
      <c r="EM304" s="89"/>
      <c r="EN304" s="89"/>
      <c r="EO304" s="89"/>
      <c r="EP304" s="89"/>
      <c r="EQ304" s="89"/>
      <c r="ER304" s="89"/>
      <c r="ES304" s="89"/>
      <c r="ET304" s="89"/>
      <c r="EU304" s="89"/>
      <c r="EV304" s="89"/>
      <c r="EW304" s="89"/>
      <c r="EX304" s="89"/>
      <c r="EY304" s="89"/>
      <c r="EZ304" s="89"/>
      <c r="FA304" s="89"/>
      <c r="FB304" s="89"/>
      <c r="FC304" s="89"/>
      <c r="FD304" s="89"/>
      <c r="FE304" s="89"/>
      <c r="FF304" s="89"/>
      <c r="FG304" s="89"/>
      <c r="FH304" s="89"/>
      <c r="FI304" s="89"/>
      <c r="FJ304" s="89"/>
      <c r="FK304" s="89"/>
      <c r="FL304" s="89"/>
      <c r="FM304" s="89"/>
      <c r="FN304" s="89"/>
      <c r="FO304" s="89"/>
      <c r="FP304" s="89"/>
      <c r="FQ304" s="89"/>
      <c r="FR304" s="89"/>
      <c r="FS304" s="89"/>
      <c r="FT304" s="89"/>
      <c r="FU304" s="89"/>
    </row>
    <row r="305" spans="10:177" s="1" customFormat="1" ht="15.75"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  <c r="CR305" s="89"/>
      <c r="CS305" s="89"/>
      <c r="CT305" s="89"/>
      <c r="CU305" s="89"/>
      <c r="CV305" s="89"/>
      <c r="CW305" s="89"/>
      <c r="CX305" s="89"/>
      <c r="CY305" s="89"/>
      <c r="CZ305" s="89"/>
      <c r="DA305" s="89"/>
      <c r="DB305" s="89"/>
      <c r="DC305" s="89"/>
      <c r="DD305" s="89"/>
      <c r="DE305" s="89"/>
      <c r="DF305" s="89"/>
      <c r="DG305" s="89"/>
      <c r="DH305" s="89"/>
      <c r="DI305" s="89"/>
      <c r="DJ305" s="89"/>
      <c r="DK305" s="89"/>
      <c r="DL305" s="89"/>
      <c r="DM305" s="89"/>
      <c r="DN305" s="89"/>
      <c r="DO305" s="89"/>
      <c r="DP305" s="89"/>
      <c r="DQ305" s="89"/>
      <c r="DR305" s="89"/>
      <c r="DS305" s="89"/>
      <c r="DT305" s="89"/>
      <c r="DU305" s="89"/>
      <c r="DV305" s="89"/>
      <c r="DW305" s="89"/>
      <c r="DX305" s="89"/>
      <c r="DY305" s="89"/>
      <c r="DZ305" s="89"/>
      <c r="EA305" s="89"/>
      <c r="EB305" s="89"/>
      <c r="EC305" s="89"/>
      <c r="ED305" s="89"/>
      <c r="EE305" s="89"/>
      <c r="EF305" s="89"/>
      <c r="EG305" s="89"/>
      <c r="EH305" s="89"/>
      <c r="EI305" s="89"/>
      <c r="EJ305" s="89"/>
      <c r="EK305" s="89"/>
      <c r="EL305" s="89"/>
      <c r="EM305" s="89"/>
      <c r="EN305" s="89"/>
      <c r="EO305" s="89"/>
      <c r="EP305" s="89"/>
      <c r="EQ305" s="89"/>
      <c r="ER305" s="89"/>
      <c r="ES305" s="89"/>
      <c r="ET305" s="89"/>
      <c r="EU305" s="89"/>
      <c r="EV305" s="89"/>
      <c r="EW305" s="89"/>
      <c r="EX305" s="89"/>
      <c r="EY305" s="89"/>
      <c r="EZ305" s="89"/>
      <c r="FA305" s="89"/>
      <c r="FB305" s="89"/>
      <c r="FC305" s="89"/>
      <c r="FD305" s="89"/>
      <c r="FE305" s="89"/>
      <c r="FF305" s="89"/>
      <c r="FG305" s="89"/>
      <c r="FH305" s="89"/>
      <c r="FI305" s="89"/>
      <c r="FJ305" s="89"/>
      <c r="FK305" s="89"/>
      <c r="FL305" s="89"/>
      <c r="FM305" s="89"/>
      <c r="FN305" s="89"/>
      <c r="FO305" s="89"/>
      <c r="FP305" s="89"/>
      <c r="FQ305" s="89"/>
      <c r="FR305" s="89"/>
      <c r="FS305" s="89"/>
      <c r="FT305" s="89"/>
      <c r="FU305" s="89"/>
    </row>
  </sheetData>
  <sheetProtection/>
  <mergeCells count="6">
    <mergeCell ref="A1:I1"/>
    <mergeCell ref="A2:I2"/>
    <mergeCell ref="A3:I3"/>
    <mergeCell ref="A109:I109"/>
    <mergeCell ref="A108:I108"/>
    <mergeCell ref="A107:I107"/>
  </mergeCells>
  <printOptions/>
  <pageMargins left="0.787401575" right="0.787401575" top="0.984251969" bottom="0.984251969" header="0.492125985" footer="0.492125985"/>
  <pageSetup horizontalDpi="300" verticalDpi="300" orientation="portrait" scale="34" r:id="rId1"/>
  <rowBreaks count="2" manualBreakCount="2">
    <brk id="105" max="38" man="1"/>
    <brk id="109" max="255" man="1"/>
  </rowBreaks>
  <colBreaks count="1" manualBreakCount="1">
    <brk id="3" max="1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0.140625" style="0" customWidth="1"/>
    <col min="2" max="2" width="14.8515625" style="0" customWidth="1"/>
    <col min="3" max="3" width="16.57421875" style="0" customWidth="1"/>
    <col min="4" max="4" width="17.8515625" style="0" customWidth="1"/>
    <col min="5" max="5" width="16.28125" style="0" customWidth="1"/>
    <col min="6" max="6" width="15.28125" style="0" customWidth="1"/>
  </cols>
  <sheetData>
    <row r="1" spans="1:6" ht="12.75">
      <c r="A1" s="458" t="str">
        <f>Parâmetros!A7</f>
        <v>Município de :Ivoti</v>
      </c>
      <c r="B1" s="458"/>
      <c r="C1" s="458"/>
      <c r="D1" s="459"/>
      <c r="E1" s="459"/>
      <c r="F1" s="459"/>
    </row>
    <row r="2" spans="1:6" ht="12.75">
      <c r="A2" s="460" t="str">
        <f>Parâmetros!A8</f>
        <v>LEI DE DIRETRIZES ORÇAMENTÁRIAS  PARA 2019</v>
      </c>
      <c r="B2" s="460"/>
      <c r="C2" s="460"/>
      <c r="D2" s="459"/>
      <c r="E2" s="459"/>
      <c r="F2" s="459"/>
    </row>
    <row r="3" spans="1:6" ht="12.75">
      <c r="A3" s="461" t="s">
        <v>381</v>
      </c>
      <c r="B3" s="461"/>
      <c r="C3" s="461"/>
      <c r="D3" s="461"/>
      <c r="E3" s="461"/>
      <c r="F3" s="461"/>
    </row>
    <row r="4" spans="1:6" ht="12.75">
      <c r="A4" s="462" t="s">
        <v>567</v>
      </c>
      <c r="B4" s="463"/>
      <c r="C4" s="463"/>
      <c r="D4" s="463"/>
      <c r="E4" s="463"/>
      <c r="F4" s="463"/>
    </row>
    <row r="5" spans="1:6" ht="12.75">
      <c r="A5" s="104" t="s">
        <v>56</v>
      </c>
      <c r="B5" s="105">
        <v>2017</v>
      </c>
      <c r="C5" s="105">
        <f>B5+1</f>
        <v>2018</v>
      </c>
      <c r="D5" s="105">
        <f>C5+1</f>
        <v>2019</v>
      </c>
      <c r="E5" s="105">
        <f>D5+1</f>
        <v>2020</v>
      </c>
      <c r="F5" s="105">
        <f>E5+1</f>
        <v>2021</v>
      </c>
    </row>
    <row r="6" spans="1:6" ht="12.75">
      <c r="A6" s="106" t="s">
        <v>382</v>
      </c>
      <c r="B6" s="107">
        <f>Projeções!E8</f>
        <v>80382714.53999999</v>
      </c>
      <c r="C6" s="107">
        <f>Projeções!F8</f>
        <v>82470800</v>
      </c>
      <c r="D6" s="107">
        <f>Projeções!G8</f>
        <v>92199524.43328312</v>
      </c>
      <c r="E6" s="107">
        <f>Projeções!H8</f>
        <v>96125614.6299232</v>
      </c>
      <c r="F6" s="107">
        <f>Projeções!I8</f>
        <v>100535896.43733504</v>
      </c>
    </row>
    <row r="7" spans="1:6" ht="12.75">
      <c r="A7" s="108" t="s">
        <v>375</v>
      </c>
      <c r="B7" s="109">
        <f>B8+B9+B10+B11+B12</f>
        <v>16191314.114</v>
      </c>
      <c r="C7" s="109">
        <f>C8+C9+C10+C11+C12</f>
        <v>15435200</v>
      </c>
      <c r="D7" s="109">
        <f>D8+D9+D10+D11+D12</f>
        <v>18176647.61118537</v>
      </c>
      <c r="E7" s="109">
        <f>E8+E9+E10+E11+E12</f>
        <v>19150581.01280965</v>
      </c>
      <c r="F7" s="109">
        <f>F8+F9+F10+F11+F12</f>
        <v>20179127.21422138</v>
      </c>
    </row>
    <row r="8" spans="1:6" ht="12.75">
      <c r="A8" s="110" t="s">
        <v>376</v>
      </c>
      <c r="B8" s="111">
        <f>Projeções!E10+Projeções!E11</f>
        <v>1355094.77</v>
      </c>
      <c r="C8" s="111">
        <f>Projeções!F10+Projeções!F11</f>
        <v>1387000</v>
      </c>
      <c r="D8" s="111">
        <f>Projeções!G10+Projeções!G11</f>
        <v>1469736.0556486554</v>
      </c>
      <c r="E8" s="111">
        <f>Projeções!H10+Projeções!H11</f>
        <v>1535145.7833726106</v>
      </c>
      <c r="F8" s="111">
        <f>Projeções!I10+Projeções!I11</f>
        <v>1564328.2939767742</v>
      </c>
    </row>
    <row r="9" spans="1:6" ht="12.75">
      <c r="A9" s="112" t="s">
        <v>377</v>
      </c>
      <c r="B9" s="113">
        <f>Projeções!E17</f>
        <v>2469242.37</v>
      </c>
      <c r="C9" s="113">
        <f>Projeções!F17</f>
        <v>2650000</v>
      </c>
      <c r="D9" s="113">
        <f>Projeções!G17</f>
        <v>2838985.6236805953</v>
      </c>
      <c r="E9" s="113">
        <f>Projeções!H17</f>
        <v>3031695.3641965766</v>
      </c>
      <c r="F9" s="113">
        <f>Projeções!I17</f>
        <v>3205457.357914333</v>
      </c>
    </row>
    <row r="10" spans="1:6" ht="12.75">
      <c r="A10" s="114" t="s">
        <v>378</v>
      </c>
      <c r="B10" s="113">
        <f>Projeções!E72</f>
        <v>0</v>
      </c>
      <c r="C10" s="113">
        <f>Projeções!F72</f>
        <v>460000</v>
      </c>
      <c r="D10" s="113">
        <f>Projeções!G72</f>
        <v>166244.23613333332</v>
      </c>
      <c r="E10" s="113">
        <f>Projeções!H72</f>
        <v>172943.87884950667</v>
      </c>
      <c r="F10" s="113">
        <f>Projeções!I72</f>
        <v>179688.69012463742</v>
      </c>
    </row>
    <row r="11" spans="1:6" ht="12.75">
      <c r="A11" s="114" t="s">
        <v>391</v>
      </c>
      <c r="B11" s="113">
        <f>Projeções!E28</f>
        <v>4702226.96</v>
      </c>
      <c r="C11" s="113">
        <f>Projeções!F28</f>
        <v>3260000</v>
      </c>
      <c r="D11" s="113">
        <f>Projeções!G28</f>
        <v>5083036.001457013</v>
      </c>
      <c r="E11" s="113">
        <f>Projeções!H28</f>
        <v>5424838.505240708</v>
      </c>
      <c r="F11" s="113">
        <f>Projeções!I28</f>
        <v>5783517.435046363</v>
      </c>
    </row>
    <row r="12" spans="1:6" ht="12.75">
      <c r="A12" s="112" t="s">
        <v>388</v>
      </c>
      <c r="B12" s="113">
        <f>-(Projeções!E100+Projeções!E101+Projeções!E102)</f>
        <v>7664750.014</v>
      </c>
      <c r="C12" s="113">
        <f>-(Projeções!F100+Projeções!F101+Projeções!F102)</f>
        <v>7678200</v>
      </c>
      <c r="D12" s="113">
        <f>-(Projeções!G100+Projeções!G101+Projeções!G102)</f>
        <v>8618645.694265772</v>
      </c>
      <c r="E12" s="113">
        <f>-(Projeções!H100+Projeções!H101+Projeções!H102)</f>
        <v>8985957.481150245</v>
      </c>
      <c r="F12" s="113">
        <f>-(Projeções!I100+Projeções!I101+Projeções!I102)</f>
        <v>9446135.437159276</v>
      </c>
    </row>
    <row r="13" spans="1:6" ht="12.75">
      <c r="A13" s="108" t="s">
        <v>379</v>
      </c>
      <c r="B13" s="109">
        <f>-(IF(Projeções!E63+Projeções!E101&gt;0,0,Projeções!E63+Projeções!E101))</f>
        <v>0</v>
      </c>
      <c r="C13" s="109">
        <f>-(IF(Projeções!F63+Projeções!F101&gt;0,0,Projeções!F63+Projeções!F101))</f>
        <v>0</v>
      </c>
      <c r="D13" s="109">
        <f>-(IF(Projeções!G63+Projeções!G101&gt;0,0,Projeções!G63+Projeções!G101))</f>
        <v>0</v>
      </c>
      <c r="E13" s="109">
        <f>-(IF(Projeções!H63+Projeções!H101&gt;0,0,Projeções!H63+Projeções!H101))</f>
        <v>0</v>
      </c>
      <c r="F13" s="109">
        <f>-(IF(Projeções!I63+Projeções!I101&gt;0,0,Projeções!I63+Projeções!I101))</f>
        <v>0</v>
      </c>
    </row>
    <row r="14" spans="1:6" ht="12.75">
      <c r="A14" s="106" t="s">
        <v>380</v>
      </c>
      <c r="B14" s="107">
        <f>B6-B7+B13</f>
        <v>64191400.42599999</v>
      </c>
      <c r="C14" s="107">
        <f>C6-C7+C13</f>
        <v>67035600</v>
      </c>
      <c r="D14" s="107">
        <f>D6-D7+D13</f>
        <v>74022876.82209775</v>
      </c>
      <c r="E14" s="107">
        <f>E6-E7+E13</f>
        <v>76975033.61711355</v>
      </c>
      <c r="F14" s="107">
        <f>F6-F7+F13</f>
        <v>80356769.22311366</v>
      </c>
    </row>
    <row r="16" ht="12.75">
      <c r="A16" s="155"/>
    </row>
    <row r="19" ht="12.75">
      <c r="B19" s="166"/>
    </row>
  </sheetData>
  <sheetProtection/>
  <mergeCells count="4">
    <mergeCell ref="A1:F1"/>
    <mergeCell ref="A2:F2"/>
    <mergeCell ref="A3:F3"/>
    <mergeCell ref="A4:F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6">
      <selection activeCell="A1" sqref="A1:D1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17.7109375" style="0" customWidth="1"/>
    <col min="4" max="4" width="19.7109375" style="0" customWidth="1"/>
  </cols>
  <sheetData>
    <row r="1" spans="1:4" ht="12.75">
      <c r="A1" s="467" t="str">
        <f>Parâmetros!A7</f>
        <v>Município de :Ivoti</v>
      </c>
      <c r="B1" s="468"/>
      <c r="C1" s="468"/>
      <c r="D1" s="468"/>
    </row>
    <row r="2" spans="1:4" ht="12.75">
      <c r="A2" s="469" t="s">
        <v>568</v>
      </c>
      <c r="B2" s="469"/>
      <c r="C2" s="469"/>
      <c r="D2" s="469"/>
    </row>
    <row r="3" spans="1:4" ht="13.5">
      <c r="A3" s="470" t="s">
        <v>446</v>
      </c>
      <c r="B3" s="471"/>
      <c r="C3" s="471"/>
      <c r="D3" s="471"/>
    </row>
    <row r="4" spans="1:4" ht="15">
      <c r="A4" s="148"/>
      <c r="B4" s="147"/>
      <c r="C4" s="147"/>
      <c r="D4" s="147"/>
    </row>
    <row r="5" spans="1:4" ht="12.75">
      <c r="A5" s="464" t="s">
        <v>450</v>
      </c>
      <c r="B5" s="466"/>
      <c r="C5" s="466"/>
      <c r="D5" s="466"/>
    </row>
    <row r="6" spans="1:4" ht="12.75">
      <c r="A6" s="465"/>
      <c r="B6" s="149">
        <f>Parâmetros!E10</f>
        <v>2019</v>
      </c>
      <c r="C6" s="149">
        <f>Parâmetros!F10</f>
        <v>2020</v>
      </c>
      <c r="D6" s="149">
        <f>Parâmetros!G10</f>
        <v>2021</v>
      </c>
    </row>
    <row r="7" spans="1:4" ht="12.75">
      <c r="A7" s="150" t="s">
        <v>447</v>
      </c>
      <c r="B7" s="154">
        <f>RCL!D14*0.54</f>
        <v>39972353.483932786</v>
      </c>
      <c r="C7" s="154">
        <f>RCL!E14*0.54</f>
        <v>41566518.153241314</v>
      </c>
      <c r="D7" s="154">
        <f>RCL!F14*0.54</f>
        <v>43392655.38048138</v>
      </c>
    </row>
    <row r="8" spans="1:4" ht="12.75">
      <c r="A8" s="151" t="s">
        <v>448</v>
      </c>
      <c r="B8" s="154">
        <f>RCL!D14*0.513</f>
        <v>37973735.80973615</v>
      </c>
      <c r="C8" s="154">
        <f>RCL!E14*0.513</f>
        <v>39488192.24557925</v>
      </c>
      <c r="D8" s="154">
        <f>RCL!F14*0.513</f>
        <v>41223022.6114573</v>
      </c>
    </row>
    <row r="9" spans="1:4" ht="12.75">
      <c r="A9" s="150" t="s">
        <v>449</v>
      </c>
      <c r="B9" s="154">
        <f>RCL!D14*0.486</f>
        <v>35975118.1355395</v>
      </c>
      <c r="C9" s="154">
        <f>RCL!E14*0.486</f>
        <v>37409866.33791718</v>
      </c>
      <c r="D9" s="154">
        <f>RCL!F14*0.486</f>
        <v>39053389.84243324</v>
      </c>
    </row>
    <row r="10" spans="1:4" ht="12.75">
      <c r="A10" s="472"/>
      <c r="B10" s="472"/>
      <c r="C10" s="472"/>
      <c r="D10" s="472"/>
    </row>
    <row r="11" spans="1:4" ht="12.75">
      <c r="A11" s="152"/>
      <c r="B11" s="153"/>
      <c r="C11" s="153"/>
      <c r="D11" s="153"/>
    </row>
    <row r="12" spans="1:4" ht="12.75">
      <c r="A12" s="152"/>
      <c r="B12" s="153"/>
      <c r="C12" s="153"/>
      <c r="D12" s="153"/>
    </row>
    <row r="13" spans="1:4" ht="12.75">
      <c r="A13" s="464" t="s">
        <v>451</v>
      </c>
      <c r="B13" s="466"/>
      <c r="C13" s="466"/>
      <c r="D13" s="466"/>
    </row>
    <row r="14" spans="1:4" ht="12.75">
      <c r="A14" s="465"/>
      <c r="B14" s="149">
        <f>Parâmetros!E10</f>
        <v>2019</v>
      </c>
      <c r="C14" s="149">
        <f>Parâmetros!F10</f>
        <v>2020</v>
      </c>
      <c r="D14" s="149">
        <f>Parâmetros!G10</f>
        <v>2021</v>
      </c>
    </row>
    <row r="15" spans="1:4" ht="12.75">
      <c r="A15" s="158" t="s">
        <v>452</v>
      </c>
      <c r="B15" s="156">
        <f>RCL!D14*0.06</f>
        <v>4441372.609325864</v>
      </c>
      <c r="C15" s="156">
        <f>RCL!E14*0.06</f>
        <v>4618502.017026813</v>
      </c>
      <c r="D15" s="156">
        <f>RCL!F14*0.06</f>
        <v>4821406.153386819</v>
      </c>
    </row>
    <row r="16" spans="1:4" ht="12.75">
      <c r="A16" s="159" t="s">
        <v>453</v>
      </c>
      <c r="B16" s="154">
        <f>RCL!D14*0.057</f>
        <v>4219303.978859572</v>
      </c>
      <c r="C16" s="154">
        <f>RCL!E14*0.057</f>
        <v>4387576.916175473</v>
      </c>
      <c r="D16" s="154">
        <f>RCL!F14*0.057</f>
        <v>4580335.845717479</v>
      </c>
    </row>
    <row r="17" spans="1:4" ht="12.75">
      <c r="A17" s="160" t="s">
        <v>454</v>
      </c>
      <c r="B17" s="157">
        <f>RCL!D14*0.054</f>
        <v>3997235.348393278</v>
      </c>
      <c r="C17" s="157">
        <f>RCL!E14*0.054</f>
        <v>4156651.8153241314</v>
      </c>
      <c r="D17" s="157">
        <f>RCL!F14*0.054</f>
        <v>4339265.538048137</v>
      </c>
    </row>
    <row r="20" spans="1:4" ht="12.75">
      <c r="A20" s="161"/>
      <c r="B20" s="167"/>
      <c r="C20" s="167"/>
      <c r="D20" s="167"/>
    </row>
    <row r="21" spans="1:4" ht="12.75">
      <c r="A21" s="167"/>
      <c r="B21" s="167"/>
      <c r="C21" s="167"/>
      <c r="D21" s="167"/>
    </row>
    <row r="22" spans="1:4" ht="12.75">
      <c r="A22" s="167"/>
      <c r="B22" s="167"/>
      <c r="C22" s="167"/>
      <c r="D22" s="167"/>
    </row>
    <row r="23" spans="1:4" ht="12.75">
      <c r="A23" s="167"/>
      <c r="B23" s="167"/>
      <c r="C23" s="167"/>
      <c r="D23" s="167"/>
    </row>
    <row r="24" spans="1:4" ht="12.75">
      <c r="A24" s="167"/>
      <c r="B24" s="167"/>
      <c r="C24" s="167"/>
      <c r="D24" s="167"/>
    </row>
    <row r="25" spans="1:4" ht="12.75">
      <c r="A25" s="167"/>
      <c r="B25" s="167"/>
      <c r="C25" s="167"/>
      <c r="D25" s="167"/>
    </row>
    <row r="26" spans="1:4" ht="12.75">
      <c r="A26" s="167"/>
      <c r="B26" s="167"/>
      <c r="C26" s="167"/>
      <c r="D26" s="167"/>
    </row>
    <row r="27" spans="1:4" ht="12.75">
      <c r="A27" s="167"/>
      <c r="B27" s="167"/>
      <c r="C27" s="167"/>
      <c r="D27" s="167"/>
    </row>
    <row r="28" spans="1:4" ht="12.75">
      <c r="A28" s="167"/>
      <c r="B28" s="167"/>
      <c r="C28" s="167"/>
      <c r="D28" s="167"/>
    </row>
    <row r="29" spans="1:4" ht="12.75">
      <c r="A29" s="167"/>
      <c r="B29" s="167"/>
      <c r="C29" s="167"/>
      <c r="D29" s="167"/>
    </row>
    <row r="30" spans="1:4" ht="12.75">
      <c r="A30" s="167"/>
      <c r="B30" s="167"/>
      <c r="C30" s="167"/>
      <c r="D30" s="167"/>
    </row>
    <row r="31" spans="1:4" ht="12.75">
      <c r="A31" s="167"/>
      <c r="B31" s="167"/>
      <c r="C31" s="167"/>
      <c r="D31" s="167"/>
    </row>
    <row r="32" spans="1:4" ht="12.75">
      <c r="A32" s="167"/>
      <c r="B32" s="167"/>
      <c r="C32" s="167"/>
      <c r="D32" s="167"/>
    </row>
    <row r="33" spans="1:4" ht="12.75">
      <c r="A33" s="167"/>
      <c r="B33" s="167"/>
      <c r="C33" s="167"/>
      <c r="D33" s="167"/>
    </row>
    <row r="34" spans="1:4" ht="12.75">
      <c r="A34" s="167"/>
      <c r="B34" s="167"/>
      <c r="C34" s="167"/>
      <c r="D34" s="167"/>
    </row>
    <row r="35" spans="1:4" ht="0.75" customHeight="1">
      <c r="A35" s="167"/>
      <c r="B35" s="167"/>
      <c r="C35" s="167"/>
      <c r="D35" s="167"/>
    </row>
    <row r="36" spans="1:4" ht="12.75" customHeight="1" hidden="1">
      <c r="A36" s="167"/>
      <c r="B36" s="167"/>
      <c r="C36" s="167"/>
      <c r="D36" s="167"/>
    </row>
    <row r="37" spans="1:4" ht="12.75" customHeight="1" hidden="1">
      <c r="A37" s="167"/>
      <c r="B37" s="167"/>
      <c r="C37" s="167"/>
      <c r="D37" s="167"/>
    </row>
    <row r="38" spans="1:4" ht="12.75" customHeight="1" hidden="1">
      <c r="A38" s="167"/>
      <c r="B38" s="167"/>
      <c r="C38" s="167"/>
      <c r="D38" s="167"/>
    </row>
    <row r="39" spans="1:4" ht="12.75" customHeight="1" hidden="1">
      <c r="A39" s="167"/>
      <c r="B39" s="167"/>
      <c r="C39" s="167"/>
      <c r="D39" s="167"/>
    </row>
    <row r="40" spans="1:4" ht="12.75" customHeight="1" hidden="1">
      <c r="A40" s="167"/>
      <c r="B40" s="167"/>
      <c r="C40" s="167"/>
      <c r="D40" s="167"/>
    </row>
    <row r="41" spans="1:4" ht="12.75" customHeight="1" hidden="1">
      <c r="A41" s="167"/>
      <c r="B41" s="167"/>
      <c r="C41" s="167"/>
      <c r="D41" s="167"/>
    </row>
    <row r="42" spans="1:4" ht="12.75" customHeight="1" hidden="1">
      <c r="A42" s="167"/>
      <c r="B42" s="167"/>
      <c r="C42" s="167"/>
      <c r="D42" s="167"/>
    </row>
  </sheetData>
  <sheetProtection/>
  <mergeCells count="8">
    <mergeCell ref="A13:A14"/>
    <mergeCell ref="B13:D13"/>
    <mergeCell ref="A1:D1"/>
    <mergeCell ref="A2:D2"/>
    <mergeCell ref="A3:D3"/>
    <mergeCell ref="A5:A6"/>
    <mergeCell ref="B5:D5"/>
    <mergeCell ref="A10:D10"/>
  </mergeCells>
  <printOptions/>
  <pageMargins left="0.511811024" right="0.511811024" top="0.787401575" bottom="0.787401575" header="0.31496062" footer="0.31496062"/>
  <pageSetup horizontalDpi="600" verticalDpi="600" orientation="portrait" paperSize="9" scale="70" r:id="rId3"/>
  <legacyDrawing r:id="rId2"/>
  <oleObjects>
    <oleObject progId="Word.Document.8" shapeId="8505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J44"/>
  <sheetViews>
    <sheetView showGridLines="0" zoomScale="90" zoomScaleNormal="90" zoomScalePageLayoutView="0" workbookViewId="0" topLeftCell="A1">
      <selection activeCell="C9" sqref="C9"/>
    </sheetView>
  </sheetViews>
  <sheetFormatPr defaultColWidth="32.00390625" defaultRowHeight="12.75"/>
  <cols>
    <col min="1" max="1" width="48.421875" style="31" customWidth="1"/>
    <col min="2" max="2" width="15.57421875" style="32" customWidth="1"/>
    <col min="3" max="3" width="16.57421875" style="37" customWidth="1"/>
    <col min="4" max="4" width="16.7109375" style="31" customWidth="1"/>
    <col min="5" max="5" width="16.28125" style="31" customWidth="1"/>
    <col min="6" max="6" width="16.140625" style="31" customWidth="1"/>
    <col min="7" max="7" width="17.00390625" style="31" customWidth="1"/>
    <col min="8" max="18" width="13.7109375" style="31" customWidth="1"/>
    <col min="19" max="16384" width="32.00390625" style="31" customWidth="1"/>
  </cols>
  <sheetData>
    <row r="1" spans="1:10" ht="12">
      <c r="A1" s="477" t="str">
        <f>Parâmetros!A7</f>
        <v>Município de :Ivoti</v>
      </c>
      <c r="B1" s="478"/>
      <c r="C1" s="478"/>
      <c r="D1" s="478"/>
      <c r="E1" s="478"/>
      <c r="F1" s="478"/>
      <c r="G1" s="478"/>
      <c r="H1" s="478"/>
      <c r="I1" s="478"/>
      <c r="J1" s="479"/>
    </row>
    <row r="2" spans="1:10" ht="12">
      <c r="A2" s="480" t="s">
        <v>483</v>
      </c>
      <c r="B2" s="478"/>
      <c r="C2" s="478"/>
      <c r="D2" s="478"/>
      <c r="E2" s="478"/>
      <c r="F2" s="478"/>
      <c r="G2" s="478"/>
      <c r="H2" s="478"/>
      <c r="I2" s="478"/>
      <c r="J2" s="479"/>
    </row>
    <row r="3" spans="1:10" ht="12">
      <c r="A3" s="480" t="s">
        <v>566</v>
      </c>
      <c r="B3" s="478"/>
      <c r="C3" s="478"/>
      <c r="D3" s="478"/>
      <c r="E3" s="478"/>
      <c r="F3" s="478"/>
      <c r="G3" s="478"/>
      <c r="H3" s="478"/>
      <c r="I3" s="478"/>
      <c r="J3" s="479"/>
    </row>
    <row r="4" spans="1:3" ht="12">
      <c r="A4" s="33"/>
      <c r="C4" s="30"/>
    </row>
    <row r="5" spans="1:7" ht="15">
      <c r="A5" s="476" t="s">
        <v>142</v>
      </c>
      <c r="B5" s="241">
        <f>Parâmetros!B10</f>
        <v>2016</v>
      </c>
      <c r="C5" s="241">
        <f>B5+1</f>
        <v>2017</v>
      </c>
      <c r="D5" s="241">
        <f>C5+1</f>
        <v>2018</v>
      </c>
      <c r="E5" s="241">
        <f>D5+1</f>
        <v>2019</v>
      </c>
      <c r="F5" s="241">
        <f>E5+1</f>
        <v>2020</v>
      </c>
      <c r="G5" s="241">
        <f>F5+1</f>
        <v>2021</v>
      </c>
    </row>
    <row r="6" spans="1:7" ht="39.75" customHeight="1">
      <c r="A6" s="476"/>
      <c r="B6" s="327" t="s">
        <v>125</v>
      </c>
      <c r="C6" s="281" t="s">
        <v>125</v>
      </c>
      <c r="D6" s="281" t="s">
        <v>126</v>
      </c>
      <c r="E6" s="281" t="s">
        <v>592</v>
      </c>
      <c r="F6" s="281" t="s">
        <v>592</v>
      </c>
      <c r="G6" s="281" t="s">
        <v>592</v>
      </c>
    </row>
    <row r="7" spans="1:7" ht="22.5" customHeight="1">
      <c r="A7" s="326" t="s">
        <v>586</v>
      </c>
      <c r="B7" s="328">
        <f aca="true" t="shared" si="0" ref="B7:G7">B8+B9+B10</f>
        <v>914122.87</v>
      </c>
      <c r="C7" s="328">
        <f t="shared" si="0"/>
        <v>1384534.26</v>
      </c>
      <c r="D7" s="328">
        <f t="shared" si="0"/>
        <v>842225.66</v>
      </c>
      <c r="E7" s="328">
        <f t="shared" si="0"/>
        <v>1046960.93</v>
      </c>
      <c r="F7" s="328">
        <f t="shared" si="0"/>
        <v>1091240.2833333334</v>
      </c>
      <c r="G7" s="328">
        <f t="shared" si="0"/>
        <v>993475.6244444445</v>
      </c>
    </row>
    <row r="8" spans="1:7" ht="22.5" customHeight="1">
      <c r="A8" s="243" t="s">
        <v>583</v>
      </c>
      <c r="B8" s="59">
        <v>0</v>
      </c>
      <c r="C8" s="59">
        <v>0</v>
      </c>
      <c r="D8" s="59">
        <v>0</v>
      </c>
      <c r="E8" s="245">
        <f aca="true" t="shared" si="1" ref="E8:G10">(B8+C8+D8)/3</f>
        <v>0</v>
      </c>
      <c r="F8" s="245">
        <f t="shared" si="1"/>
        <v>0</v>
      </c>
      <c r="G8" s="245">
        <f t="shared" si="1"/>
        <v>0</v>
      </c>
    </row>
    <row r="9" spans="1:7" ht="22.5" customHeight="1">
      <c r="A9" s="243" t="s">
        <v>584</v>
      </c>
      <c r="B9" s="59">
        <v>914122.87</v>
      </c>
      <c r="C9" s="59">
        <v>1384534.26</v>
      </c>
      <c r="D9" s="59">
        <f>990854.02-(37157.09*4)</f>
        <v>842225.66</v>
      </c>
      <c r="E9" s="245">
        <f t="shared" si="1"/>
        <v>1046960.93</v>
      </c>
      <c r="F9" s="245">
        <f t="shared" si="1"/>
        <v>1091240.2833333334</v>
      </c>
      <c r="G9" s="245">
        <f t="shared" si="1"/>
        <v>993475.6244444445</v>
      </c>
    </row>
    <row r="10" spans="1:7" ht="22.5" customHeight="1">
      <c r="A10" s="243" t="s">
        <v>585</v>
      </c>
      <c r="B10" s="59">
        <v>0</v>
      </c>
      <c r="C10" s="59">
        <v>0</v>
      </c>
      <c r="D10" s="59">
        <v>0</v>
      </c>
      <c r="E10" s="245">
        <f t="shared" si="1"/>
        <v>0</v>
      </c>
      <c r="F10" s="245">
        <f t="shared" si="1"/>
        <v>0</v>
      </c>
      <c r="G10" s="245">
        <f t="shared" si="1"/>
        <v>0</v>
      </c>
    </row>
    <row r="11" spans="1:7" ht="15">
      <c r="A11" s="243" t="s">
        <v>587</v>
      </c>
      <c r="B11" s="328">
        <f aca="true" t="shared" si="2" ref="B11:G11">B12-B13+B14</f>
        <v>2544832.83</v>
      </c>
      <c r="C11" s="328">
        <f t="shared" si="2"/>
        <v>6141461.289999999</v>
      </c>
      <c r="D11" s="328">
        <f t="shared" si="2"/>
        <v>5231227.704999999</v>
      </c>
      <c r="E11" s="328">
        <f t="shared" si="2"/>
        <v>4639173.9416666655</v>
      </c>
      <c r="F11" s="328">
        <f t="shared" si="2"/>
        <v>5337287.645555554</v>
      </c>
      <c r="G11" s="328">
        <f t="shared" si="2"/>
        <v>5069229.764074073</v>
      </c>
    </row>
    <row r="12" spans="1:7" ht="15">
      <c r="A12" s="243" t="s">
        <v>588</v>
      </c>
      <c r="B12" s="59">
        <v>5787345.8</v>
      </c>
      <c r="C12" s="59">
        <v>8468807.51</v>
      </c>
      <c r="D12" s="59">
        <f>(B12+C12)/2</f>
        <v>7128076.654999999</v>
      </c>
      <c r="E12" s="245">
        <f aca="true" t="shared" si="3" ref="E12:G14">(B12+C12+D12)/3</f>
        <v>7128076.654999998</v>
      </c>
      <c r="F12" s="245">
        <f t="shared" si="3"/>
        <v>7574986.939999999</v>
      </c>
      <c r="G12" s="245">
        <f t="shared" si="3"/>
        <v>7277046.749999999</v>
      </c>
    </row>
    <row r="13" spans="1:7" ht="15">
      <c r="A13" s="243" t="s">
        <v>589</v>
      </c>
      <c r="B13" s="59">
        <v>3363076.65</v>
      </c>
      <c r="C13" s="59">
        <v>2413084.64</v>
      </c>
      <c r="D13" s="59">
        <v>2000000</v>
      </c>
      <c r="E13" s="245">
        <f t="shared" si="3"/>
        <v>2592053.763333333</v>
      </c>
      <c r="F13" s="245">
        <f t="shared" si="3"/>
        <v>2335046.134444445</v>
      </c>
      <c r="G13" s="245">
        <f t="shared" si="3"/>
        <v>2309033.29925926</v>
      </c>
    </row>
    <row r="14" spans="1:7" ht="15">
      <c r="A14" s="243" t="s">
        <v>591</v>
      </c>
      <c r="B14" s="59">
        <v>120563.68</v>
      </c>
      <c r="C14" s="59">
        <v>85738.42</v>
      </c>
      <c r="D14" s="59">
        <f>(B14+C14)/2</f>
        <v>103151.04999999999</v>
      </c>
      <c r="E14" s="245">
        <f t="shared" si="3"/>
        <v>103151.04999999999</v>
      </c>
      <c r="F14" s="245">
        <f t="shared" si="3"/>
        <v>97346.83999999998</v>
      </c>
      <c r="G14" s="245">
        <f t="shared" si="3"/>
        <v>101216.31333333331</v>
      </c>
    </row>
    <row r="15" spans="1:7" ht="22.5" customHeight="1">
      <c r="A15" s="243" t="s">
        <v>590</v>
      </c>
      <c r="B15" s="244">
        <f aca="true" t="shared" si="4" ref="B15:G15">B7-B11</f>
        <v>-1630709.96</v>
      </c>
      <c r="C15" s="244">
        <f t="shared" si="4"/>
        <v>-4756927.029999999</v>
      </c>
      <c r="D15" s="244">
        <f t="shared" si="4"/>
        <v>-4389002.044999999</v>
      </c>
      <c r="E15" s="244">
        <f t="shared" si="4"/>
        <v>-3592213.0116666653</v>
      </c>
      <c r="F15" s="244">
        <f t="shared" si="4"/>
        <v>-4246047.362222221</v>
      </c>
      <c r="G15" s="244">
        <f t="shared" si="4"/>
        <v>-4075754.1396296285</v>
      </c>
    </row>
    <row r="16" spans="1:7" s="34" customFormat="1" ht="15">
      <c r="A16" s="48"/>
      <c r="B16" s="49"/>
      <c r="C16" s="49"/>
      <c r="D16" s="49"/>
      <c r="E16" s="49"/>
      <c r="F16" s="49"/>
      <c r="G16" s="49"/>
    </row>
    <row r="17" spans="1:7" ht="15">
      <c r="A17" s="50" t="s">
        <v>593</v>
      </c>
      <c r="B17" s="60"/>
      <c r="C17" s="51"/>
      <c r="D17" s="51"/>
      <c r="E17" s="51"/>
      <c r="F17" s="51"/>
      <c r="G17" s="52" t="s">
        <v>5</v>
      </c>
    </row>
    <row r="18" spans="1:7" ht="15">
      <c r="A18" s="476" t="s">
        <v>149</v>
      </c>
      <c r="B18" s="241">
        <f>Parâmetros!B10</f>
        <v>2016</v>
      </c>
      <c r="C18" s="241">
        <f>B18+1</f>
        <v>2017</v>
      </c>
      <c r="D18" s="241">
        <f>C18+1</f>
        <v>2018</v>
      </c>
      <c r="E18" s="241">
        <f>D18+1</f>
        <v>2019</v>
      </c>
      <c r="F18" s="241">
        <f>E18+1</f>
        <v>2020</v>
      </c>
      <c r="G18" s="241">
        <f>F18+1</f>
        <v>2021</v>
      </c>
    </row>
    <row r="19" spans="1:7" ht="15">
      <c r="A19" s="476"/>
      <c r="B19" s="241" t="s">
        <v>10</v>
      </c>
      <c r="C19" s="242" t="s">
        <v>10</v>
      </c>
      <c r="D19" s="242" t="s">
        <v>126</v>
      </c>
      <c r="E19" s="242" t="s">
        <v>11</v>
      </c>
      <c r="F19" s="242" t="s">
        <v>11</v>
      </c>
      <c r="G19" s="242" t="s">
        <v>11</v>
      </c>
    </row>
    <row r="20" spans="1:7" s="35" customFormat="1" ht="15">
      <c r="A20" s="246" t="s">
        <v>38</v>
      </c>
      <c r="B20" s="247">
        <f>Projeções!D79</f>
        <v>529538.73</v>
      </c>
      <c r="C20" s="247">
        <f>Projeções!E79</f>
        <v>984624.2</v>
      </c>
      <c r="D20" s="247">
        <f>Projeções!F79</f>
        <v>0</v>
      </c>
      <c r="E20" s="61">
        <v>0</v>
      </c>
      <c r="F20" s="61">
        <v>0</v>
      </c>
      <c r="G20" s="61">
        <v>0</v>
      </c>
    </row>
    <row r="21" spans="1:7" ht="15">
      <c r="A21" s="243" t="s">
        <v>455</v>
      </c>
      <c r="B21" s="244">
        <f>Projeções!D120+Projeções!D121</f>
        <v>17977.49</v>
      </c>
      <c r="C21" s="244">
        <f>Projeções!E120+Projeções!E121</f>
        <v>150626.48</v>
      </c>
      <c r="D21" s="244">
        <f>Projeções!F120+Projeções!F121</f>
        <v>123011.46857142856</v>
      </c>
      <c r="E21" s="244">
        <f>Projeções!G120+Projeções!G121</f>
        <v>111611.22685905863</v>
      </c>
      <c r="F21" s="244">
        <f>Projeções!H120+Projeções!H121</f>
        <v>120752.18633881555</v>
      </c>
      <c r="G21" s="244"/>
    </row>
    <row r="22" spans="1:7" ht="15">
      <c r="A22" s="243" t="s">
        <v>456</v>
      </c>
      <c r="B22" s="244">
        <f>Projeções!D141+Projeções!D142</f>
        <v>70464.3</v>
      </c>
      <c r="C22" s="244">
        <f>Projeções!E141+Projeções!E142</f>
        <v>366166.96</v>
      </c>
      <c r="D22" s="244">
        <f>Projeções!F141+Projeções!F142</f>
        <v>409885.07999999996</v>
      </c>
      <c r="E22" s="244">
        <f>Projeções!G141</f>
        <v>409885.07999999996</v>
      </c>
      <c r="F22" s="244">
        <f>Projeções!H141+Projeções!H142</f>
        <v>375727.99</v>
      </c>
      <c r="G22" s="244"/>
    </row>
    <row r="23" spans="1:7" ht="15.75" customHeight="1" hidden="1">
      <c r="A23" s="63" t="s">
        <v>35</v>
      </c>
      <c r="B23" s="62"/>
      <c r="C23" s="62"/>
      <c r="D23" s="62"/>
      <c r="E23" s="62"/>
      <c r="F23" s="62"/>
      <c r="G23" s="62"/>
    </row>
    <row r="24" spans="1:7" ht="12.75">
      <c r="A24" s="473" t="s">
        <v>195</v>
      </c>
      <c r="B24" s="474"/>
      <c r="C24" s="474"/>
      <c r="D24" s="474"/>
      <c r="E24" s="474"/>
      <c r="F24" s="474"/>
      <c r="G24" s="475"/>
    </row>
    <row r="25" spans="1:3" ht="12">
      <c r="A25" s="33"/>
      <c r="C25" s="30"/>
    </row>
    <row r="26" spans="1:3" ht="12">
      <c r="A26" s="33"/>
      <c r="C26" s="30"/>
    </row>
    <row r="27" spans="1:3" ht="12">
      <c r="A27" s="33"/>
      <c r="C27" s="30"/>
    </row>
    <row r="28" spans="1:3" ht="12">
      <c r="A28" s="33"/>
      <c r="C28" s="30"/>
    </row>
    <row r="29" spans="1:3" ht="12">
      <c r="A29" s="33"/>
      <c r="C29" s="30"/>
    </row>
    <row r="30" spans="1:3" ht="12">
      <c r="A30" s="33"/>
      <c r="C30" s="30"/>
    </row>
    <row r="31" ht="12">
      <c r="A31" s="36"/>
    </row>
    <row r="32" ht="12">
      <c r="A32" s="36"/>
    </row>
    <row r="33" ht="12">
      <c r="A33" s="36"/>
    </row>
    <row r="34" ht="12">
      <c r="A34" s="36"/>
    </row>
    <row r="35" ht="12">
      <c r="A35" s="36"/>
    </row>
    <row r="36" ht="12">
      <c r="A36" s="36"/>
    </row>
    <row r="37" ht="12">
      <c r="A37" s="36"/>
    </row>
    <row r="38" ht="12">
      <c r="A38" s="36"/>
    </row>
    <row r="39" ht="12">
      <c r="A39" s="36"/>
    </row>
    <row r="40" ht="12">
      <c r="A40" s="36"/>
    </row>
    <row r="41" ht="12">
      <c r="A41" s="36"/>
    </row>
    <row r="42" ht="12">
      <c r="A42" s="36"/>
    </row>
    <row r="43" ht="12">
      <c r="A43" s="36"/>
    </row>
    <row r="44" ht="12">
      <c r="A44" s="36"/>
    </row>
  </sheetData>
  <sheetProtection/>
  <mergeCells count="6">
    <mergeCell ref="A24:G24"/>
    <mergeCell ref="A18:A19"/>
    <mergeCell ref="A1:J1"/>
    <mergeCell ref="A2:J2"/>
    <mergeCell ref="A3:J3"/>
    <mergeCell ref="A5:A6"/>
  </mergeCells>
  <printOptions/>
  <pageMargins left="0.787401575" right="0.787401575" top="0.984251969" bottom="0.984251969" header="0.492125985" footer="0.492125985"/>
  <pageSetup horizontalDpi="200" verticalDpi="2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E7" sqref="E7"/>
    </sheetView>
  </sheetViews>
  <sheetFormatPr defaultColWidth="32.00390625" defaultRowHeight="12.75"/>
  <cols>
    <col min="1" max="1" width="61.00390625" style="314" customWidth="1"/>
    <col min="2" max="2" width="15.57421875" style="316" customWidth="1"/>
    <col min="3" max="3" width="16.57421875" style="319" customWidth="1"/>
    <col min="4" max="4" width="16.7109375" style="314" customWidth="1"/>
    <col min="5" max="5" width="16.28125" style="314" customWidth="1"/>
    <col min="6" max="6" width="16.140625" style="314" customWidth="1"/>
    <col min="7" max="7" width="17.00390625" style="314" customWidth="1"/>
    <col min="8" max="17" width="13.7109375" style="314" customWidth="1"/>
    <col min="18" max="16384" width="32.00390625" style="314" customWidth="1"/>
  </cols>
  <sheetData>
    <row r="1" spans="1:9" ht="15">
      <c r="A1" s="482" t="str">
        <f>Parâmetros!A7</f>
        <v>Município de :Ivoti</v>
      </c>
      <c r="B1" s="483"/>
      <c r="C1" s="483"/>
      <c r="D1" s="483"/>
      <c r="E1" s="483"/>
      <c r="F1" s="483"/>
      <c r="G1" s="483"/>
      <c r="H1" s="483"/>
      <c r="I1" s="484"/>
    </row>
    <row r="2" spans="1:9" ht="15">
      <c r="A2" s="485" t="s">
        <v>483</v>
      </c>
      <c r="B2" s="483"/>
      <c r="C2" s="483"/>
      <c r="D2" s="483"/>
      <c r="E2" s="483"/>
      <c r="F2" s="483"/>
      <c r="G2" s="483"/>
      <c r="H2" s="483"/>
      <c r="I2" s="484"/>
    </row>
    <row r="3" spans="1:9" ht="15">
      <c r="A3" s="485" t="s">
        <v>484</v>
      </c>
      <c r="B3" s="483"/>
      <c r="C3" s="483"/>
      <c r="D3" s="483"/>
      <c r="E3" s="483"/>
      <c r="F3" s="483"/>
      <c r="G3" s="483"/>
      <c r="H3" s="483"/>
      <c r="I3" s="484"/>
    </row>
    <row r="4" spans="1:3" ht="15">
      <c r="A4" s="315"/>
      <c r="C4" s="314"/>
    </row>
    <row r="5" spans="1:7" ht="15">
      <c r="A5" s="481" t="s">
        <v>485</v>
      </c>
      <c r="B5" s="302">
        <f>Parâmetros!B10</f>
        <v>2016</v>
      </c>
      <c r="C5" s="302">
        <f>B5+1</f>
        <v>2017</v>
      </c>
      <c r="D5" s="302">
        <f>C5+1</f>
        <v>2018</v>
      </c>
      <c r="E5" s="302">
        <f>D5+1</f>
        <v>2019</v>
      </c>
      <c r="F5" s="302">
        <f>E5+1</f>
        <v>2020</v>
      </c>
      <c r="G5" s="302">
        <f>F5+1</f>
        <v>2021</v>
      </c>
    </row>
    <row r="6" spans="1:7" ht="12.75" customHeight="1">
      <c r="A6" s="481"/>
      <c r="B6" s="302" t="s">
        <v>486</v>
      </c>
      <c r="C6" s="302" t="s">
        <v>486</v>
      </c>
      <c r="D6" s="303" t="s">
        <v>487</v>
      </c>
      <c r="E6" s="303" t="s">
        <v>487</v>
      </c>
      <c r="F6" s="303" t="s">
        <v>487</v>
      </c>
      <c r="G6" s="303" t="s">
        <v>487</v>
      </c>
    </row>
    <row r="7" spans="1:7" ht="19.5" customHeight="1">
      <c r="A7" s="304" t="s">
        <v>602</v>
      </c>
      <c r="B7" s="378">
        <f>Projeções!D8+Projeções!D99-Projeções!D103</f>
        <v>70016724.602</v>
      </c>
      <c r="C7" s="378">
        <f>Projeções!E8+Projeções!E99-Projeções!E103</f>
        <v>72717964.526</v>
      </c>
      <c r="D7" s="378">
        <f>Projeções!F8+Projeções!F99-Projeções!F103</f>
        <v>74792600</v>
      </c>
      <c r="E7" s="378">
        <f>Projeções!G8+Projeções!G99-Projeções!G103</f>
        <v>83580878.73901735</v>
      </c>
      <c r="F7" s="378">
        <f>Projeções!H8+Projeções!H99-Projeções!H103</f>
        <v>87139657.14877295</v>
      </c>
      <c r="G7" s="378">
        <f>Projeções!I8+Projeções!I99-Projeções!I103</f>
        <v>91089761.00017577</v>
      </c>
    </row>
    <row r="8" spans="1:7" ht="19.5" customHeight="1">
      <c r="A8" s="306" t="s">
        <v>488</v>
      </c>
      <c r="B8" s="378">
        <f>Projeções!D25-Projeções!D28</f>
        <v>571240.2999999998</v>
      </c>
      <c r="C8" s="378">
        <f>Projeções!E25-Projeções!E28</f>
        <v>728214.3399999999</v>
      </c>
      <c r="D8" s="378">
        <f>Projeções!F25-Projeções!F28</f>
        <v>620000</v>
      </c>
      <c r="E8" s="378">
        <f>Projeções!G25-Projeções!G28</f>
        <v>743662.986432787</v>
      </c>
      <c r="F8" s="378">
        <f>Projeções!H25-Projeções!H28</f>
        <v>793669.6892499859</v>
      </c>
      <c r="G8" s="378">
        <f>Projeções!I25-Projeções!I28</f>
        <v>846145.462396848</v>
      </c>
    </row>
    <row r="9" spans="1:7" ht="19.5" customHeight="1">
      <c r="A9" s="306" t="s">
        <v>489</v>
      </c>
      <c r="B9" s="379">
        <f>Projeções!D28</f>
        <v>5358009.66</v>
      </c>
      <c r="C9" s="379">
        <f>Projeções!E28</f>
        <v>4702226.96</v>
      </c>
      <c r="D9" s="379">
        <f>Projeções!F28</f>
        <v>3260000</v>
      </c>
      <c r="E9" s="379">
        <f>Projeções!G28</f>
        <v>5083036.001457013</v>
      </c>
      <c r="F9" s="379">
        <f>Projeções!H28</f>
        <v>5424838.505240708</v>
      </c>
      <c r="G9" s="379">
        <f>Projeções!I28</f>
        <v>5783517.435046363</v>
      </c>
    </row>
    <row r="10" spans="1:7" ht="19.5" customHeight="1">
      <c r="A10" s="306" t="s">
        <v>490</v>
      </c>
      <c r="B10" s="379">
        <f>Projeções!D37+Projeções!D69+Projeções!D74+Projeções!D76</f>
        <v>0</v>
      </c>
      <c r="C10" s="379">
        <f>Projeções!E37+Projeções!E69+Projeções!E74+Projeções!E76</f>
        <v>0</v>
      </c>
      <c r="D10" s="379">
        <f>Projeções!F37+Projeções!F69+Projeções!F74+Projeções!F76</f>
        <v>0</v>
      </c>
      <c r="E10" s="379">
        <f>Projeções!G37+Projeções!G69+Projeções!G74+Projeções!G76</f>
        <v>0</v>
      </c>
      <c r="F10" s="379">
        <f>Projeções!H37+Projeções!H69+Projeções!H74+Projeções!H76</f>
        <v>0</v>
      </c>
      <c r="G10" s="379">
        <f>Projeções!I37+Projeções!I69+Projeções!I74+Projeções!I76</f>
        <v>0</v>
      </c>
    </row>
    <row r="11" spans="1:7" ht="19.5" customHeight="1">
      <c r="A11" s="304" t="s">
        <v>518</v>
      </c>
      <c r="B11" s="380">
        <f aca="true" t="shared" si="0" ref="B11:G11">B7-B8-B9-B10</f>
        <v>64087474.642000005</v>
      </c>
      <c r="C11" s="380">
        <f t="shared" si="0"/>
        <v>67287523.226</v>
      </c>
      <c r="D11" s="380">
        <f t="shared" si="0"/>
        <v>70912600</v>
      </c>
      <c r="E11" s="380">
        <f t="shared" si="0"/>
        <v>77754179.75112754</v>
      </c>
      <c r="F11" s="380">
        <f t="shared" si="0"/>
        <v>80921148.95428225</v>
      </c>
      <c r="G11" s="380">
        <f t="shared" si="0"/>
        <v>84460098.10273257</v>
      </c>
    </row>
    <row r="12" spans="1:7" ht="19.5" customHeight="1">
      <c r="A12" s="304"/>
      <c r="B12" s="380"/>
      <c r="C12" s="380"/>
      <c r="D12" s="380"/>
      <c r="E12" s="380"/>
      <c r="F12" s="380"/>
      <c r="G12" s="380"/>
    </row>
    <row r="13" spans="1:7" ht="19.5" customHeight="1">
      <c r="A13" s="307" t="s">
        <v>603</v>
      </c>
      <c r="B13" s="380">
        <f>Projeções!D78+Projeções!D103</f>
        <v>3574925.92</v>
      </c>
      <c r="C13" s="380">
        <f>Projeções!E78+Projeções!E103</f>
        <v>1931026.2100000002</v>
      </c>
      <c r="D13" s="380">
        <f>Projeções!F78+Projeções!F103</f>
        <v>2599000</v>
      </c>
      <c r="E13" s="380">
        <f>Projeções!G78+Projeções!G103</f>
        <v>2554544.3280313984</v>
      </c>
      <c r="F13" s="380">
        <f>Projeções!H78+Projeções!H103</f>
        <v>2706441.06138343</v>
      </c>
      <c r="G13" s="380">
        <f>Projeções!I78+Projeções!I103</f>
        <v>2864569.960866653</v>
      </c>
    </row>
    <row r="14" spans="1:7" ht="19.5" customHeight="1">
      <c r="A14" s="308" t="s">
        <v>491</v>
      </c>
      <c r="B14" s="379">
        <f>Projeções!D79</f>
        <v>529538.73</v>
      </c>
      <c r="C14" s="379">
        <f>Projeções!E79</f>
        <v>984624.2</v>
      </c>
      <c r="D14" s="379">
        <f>Projeções!F79</f>
        <v>0</v>
      </c>
      <c r="E14" s="379">
        <f>Projeções!G79</f>
        <v>0</v>
      </c>
      <c r="F14" s="379">
        <f>Projeções!H79</f>
        <v>0</v>
      </c>
      <c r="G14" s="379">
        <f>Projeções!I79</f>
        <v>0</v>
      </c>
    </row>
    <row r="15" spans="1:7" ht="19.5" customHeight="1">
      <c r="A15" s="308" t="s">
        <v>492</v>
      </c>
      <c r="B15" s="379">
        <f>Projeções!D85</f>
        <v>11956.23</v>
      </c>
      <c r="C15" s="379">
        <f>Projeções!E85</f>
        <v>15057.34</v>
      </c>
      <c r="D15" s="379">
        <f>Projeções!F85</f>
        <v>30000</v>
      </c>
      <c r="E15" s="379">
        <f>Projeções!G85</f>
        <v>21269.876309749474</v>
      </c>
      <c r="F15" s="379">
        <f>Projeções!H85</f>
        <v>22127.05232503238</v>
      </c>
      <c r="G15" s="379">
        <f>Projeções!I85</f>
        <v>22990.00736570864</v>
      </c>
    </row>
    <row r="16" spans="1:7" ht="19.5" customHeight="1">
      <c r="A16" s="308" t="s">
        <v>493</v>
      </c>
      <c r="B16" s="379">
        <f>Projeções!D81+Projeções!D82</f>
        <v>0</v>
      </c>
      <c r="C16" s="379">
        <f>Projeções!E81+Projeções!E82</f>
        <v>0</v>
      </c>
      <c r="D16" s="379">
        <f>Projeções!F81+Projeções!F82</f>
        <v>0</v>
      </c>
      <c r="E16" s="379">
        <f>Projeções!G81+Projeções!G82</f>
        <v>0</v>
      </c>
      <c r="F16" s="379">
        <f>Projeções!H81+Projeções!H82</f>
        <v>0</v>
      </c>
      <c r="G16" s="379">
        <f>Projeções!I81+Projeções!I82</f>
        <v>0</v>
      </c>
    </row>
    <row r="17" spans="1:8" ht="19.5" customHeight="1">
      <c r="A17" s="308" t="s">
        <v>494</v>
      </c>
      <c r="B17" s="379">
        <f>Projeções!D96</f>
        <v>0</v>
      </c>
      <c r="C17" s="379">
        <f>Projeções!E96</f>
        <v>0</v>
      </c>
      <c r="D17" s="379">
        <f>Projeções!F96</f>
        <v>0</v>
      </c>
      <c r="E17" s="379">
        <f>Projeções!G96</f>
        <v>0</v>
      </c>
      <c r="F17" s="379">
        <f>Projeções!H96</f>
        <v>0</v>
      </c>
      <c r="G17" s="379">
        <f>Projeções!I96</f>
        <v>0</v>
      </c>
      <c r="H17" s="309"/>
    </row>
    <row r="18" spans="1:7" ht="19.5" customHeight="1">
      <c r="A18" s="307" t="s">
        <v>519</v>
      </c>
      <c r="B18" s="380">
        <f aca="true" t="shared" si="1" ref="B18:G18">B13-B14-B15-B16-B17</f>
        <v>3033430.96</v>
      </c>
      <c r="C18" s="380">
        <f t="shared" si="1"/>
        <v>931344.6700000003</v>
      </c>
      <c r="D18" s="380">
        <f t="shared" si="1"/>
        <v>2569000</v>
      </c>
      <c r="E18" s="380">
        <f t="shared" si="1"/>
        <v>2533274.4517216487</v>
      </c>
      <c r="F18" s="380">
        <f t="shared" si="1"/>
        <v>2684314.0090583977</v>
      </c>
      <c r="G18" s="380">
        <f t="shared" si="1"/>
        <v>2841579.953500944</v>
      </c>
    </row>
    <row r="19" spans="1:7" s="317" customFormat="1" ht="19.5" customHeight="1">
      <c r="A19" s="310" t="s">
        <v>520</v>
      </c>
      <c r="B19" s="381">
        <f aca="true" t="shared" si="2" ref="B19:G19">B11+B18</f>
        <v>67120905.602</v>
      </c>
      <c r="C19" s="381">
        <f t="shared" si="2"/>
        <v>68218867.896</v>
      </c>
      <c r="D19" s="381">
        <f t="shared" si="2"/>
        <v>73481600</v>
      </c>
      <c r="E19" s="381">
        <f t="shared" si="2"/>
        <v>80287454.2028492</v>
      </c>
      <c r="F19" s="381">
        <f t="shared" si="2"/>
        <v>83605462.96334065</v>
      </c>
      <c r="G19" s="381">
        <f t="shared" si="2"/>
        <v>87301678.05623351</v>
      </c>
    </row>
    <row r="20" ht="15">
      <c r="A20" s="318"/>
    </row>
    <row r="21" spans="1:7" ht="15">
      <c r="A21" s="481" t="s">
        <v>513</v>
      </c>
      <c r="B21" s="302">
        <f>B5</f>
        <v>2016</v>
      </c>
      <c r="C21" s="302">
        <f>B21+1</f>
        <v>2017</v>
      </c>
      <c r="D21" s="302">
        <f>C21+1</f>
        <v>2018</v>
      </c>
      <c r="E21" s="302">
        <f>D21+1</f>
        <v>2019</v>
      </c>
      <c r="F21" s="302">
        <f>E21+1</f>
        <v>2020</v>
      </c>
      <c r="G21" s="302">
        <f>F21+1</f>
        <v>2021</v>
      </c>
    </row>
    <row r="22" spans="1:7" ht="15">
      <c r="A22" s="481"/>
      <c r="B22" s="302" t="s">
        <v>524</v>
      </c>
      <c r="C22" s="302" t="s">
        <v>524</v>
      </c>
      <c r="D22" s="303" t="s">
        <v>525</v>
      </c>
      <c r="E22" s="303" t="s">
        <v>487</v>
      </c>
      <c r="F22" s="303" t="s">
        <v>487</v>
      </c>
      <c r="G22" s="303" t="s">
        <v>487</v>
      </c>
    </row>
    <row r="23" spans="1:8" ht="15">
      <c r="A23" s="304" t="s">
        <v>604</v>
      </c>
      <c r="B23" s="382">
        <f>Projeções!D113-Projeções!D118-Projeções!D123-Projeções!D128</f>
        <v>56617459.78000001</v>
      </c>
      <c r="C23" s="382">
        <f>Projeções!E113-Projeções!E118-Projeções!E123-Projeções!E128</f>
        <v>58467882.169999994</v>
      </c>
      <c r="D23" s="382">
        <f>Projeções!F113-Projeções!F118-Projeções!F123-Projeções!F128</f>
        <v>59660432.3437143</v>
      </c>
      <c r="E23" s="382">
        <f>Projeções!G113-Projeções!G118-Projeções!G123-Projeções!G128</f>
        <v>67432602.7193312</v>
      </c>
      <c r="F23" s="382">
        <f>Projeções!H113-Projeções!H118-Projeções!H123-Projeções!H128</f>
        <v>69810519.50701918</v>
      </c>
      <c r="G23" s="382">
        <f>Projeções!I113-Projeções!I118-Projeções!I123-Projeções!I128</f>
        <v>72302884.76126046</v>
      </c>
      <c r="H23" s="305"/>
    </row>
    <row r="24" spans="1:7" ht="15">
      <c r="A24" s="306" t="s">
        <v>514</v>
      </c>
      <c r="B24" s="378">
        <f>Projeções!D119-Projeções!D123</f>
        <v>17977.49</v>
      </c>
      <c r="C24" s="378">
        <f>Projeções!E119-Projeções!E123</f>
        <v>150626.48</v>
      </c>
      <c r="D24" s="378">
        <f>Projeções!F119-Projeções!F123</f>
        <v>123011.46857142856</v>
      </c>
      <c r="E24" s="378">
        <f>Projeções!G119-Projeções!G123</f>
        <v>111611.22685905863</v>
      </c>
      <c r="F24" s="378">
        <f>Projeções!H119-Projeções!H123</f>
        <v>120752.18633881555</v>
      </c>
      <c r="G24" s="378">
        <f>Projeções!I119-Projeções!I123</f>
        <v>0</v>
      </c>
    </row>
    <row r="25" spans="1:7" ht="15">
      <c r="A25" s="304" t="s">
        <v>521</v>
      </c>
      <c r="B25" s="380">
        <f aca="true" t="shared" si="3" ref="B25:G25">B23-B24</f>
        <v>56599482.29000001</v>
      </c>
      <c r="C25" s="380">
        <f t="shared" si="3"/>
        <v>58317255.69</v>
      </c>
      <c r="D25" s="380">
        <f t="shared" si="3"/>
        <v>59537420.875142865</v>
      </c>
      <c r="E25" s="380">
        <f t="shared" si="3"/>
        <v>67320991.49247214</v>
      </c>
      <c r="F25" s="380">
        <f t="shared" si="3"/>
        <v>69689767.32068036</v>
      </c>
      <c r="G25" s="380">
        <f t="shared" si="3"/>
        <v>72302884.76126046</v>
      </c>
    </row>
    <row r="26" spans="1:7" ht="15">
      <c r="A26" s="304"/>
      <c r="B26" s="380"/>
      <c r="C26" s="380"/>
      <c r="D26" s="380"/>
      <c r="E26" s="380"/>
      <c r="F26" s="380"/>
      <c r="G26" s="380"/>
    </row>
    <row r="27" spans="1:7" ht="15">
      <c r="A27" s="307" t="s">
        <v>605</v>
      </c>
      <c r="B27" s="380">
        <f>Projeções!D129-Projeções!D134-Projeções!D139-Projeções!D144</f>
        <v>4533562.829999999</v>
      </c>
      <c r="C27" s="380">
        <f>Projeções!E129-Projeções!E134-Projeções!E139-Projeções!E144</f>
        <v>2933228.69</v>
      </c>
      <c r="D27" s="380">
        <f>Projeções!F129-Projeções!F134-Projeções!F139-Projeções!F144</f>
        <v>3384155.4642857146</v>
      </c>
      <c r="E27" s="380">
        <f>Projeções!G129-Projeções!G134-Projeções!G139-Projeções!G144</f>
        <v>3768160.333011533</v>
      </c>
      <c r="F27" s="380">
        <f>Projeções!H129-Projeções!H134-Projeções!H139-Projeções!H144</f>
        <v>3302895.029935618</v>
      </c>
      <c r="G27" s="380">
        <f>Projeções!I129-Projeções!I134-Projeções!I139-Projeções!I144</f>
        <v>2859631.804037048</v>
      </c>
    </row>
    <row r="28" spans="1:7" ht="15">
      <c r="A28" s="308" t="s">
        <v>515</v>
      </c>
      <c r="B28" s="379">
        <f>Projeções!D136</f>
        <v>0</v>
      </c>
      <c r="C28" s="379">
        <f>Projeções!E136</f>
        <v>0</v>
      </c>
      <c r="D28" s="379">
        <f>Projeções!F136</f>
        <v>0</v>
      </c>
      <c r="E28" s="379">
        <f>Projeções!G136</f>
        <v>0</v>
      </c>
      <c r="F28" s="379">
        <f>Projeções!H136</f>
        <v>0</v>
      </c>
      <c r="G28" s="379">
        <f>Projeções!I136</f>
        <v>0</v>
      </c>
    </row>
    <row r="29" spans="1:7" ht="15">
      <c r="A29" s="308" t="s">
        <v>613</v>
      </c>
      <c r="B29" s="379"/>
      <c r="C29" s="379"/>
      <c r="D29" s="379"/>
      <c r="E29" s="379"/>
      <c r="F29" s="379"/>
      <c r="G29" s="379"/>
    </row>
    <row r="30" spans="1:7" ht="15">
      <c r="A30" s="308" t="s">
        <v>516</v>
      </c>
      <c r="B30" s="379"/>
      <c r="C30" s="379"/>
      <c r="D30" s="379"/>
      <c r="E30" s="379"/>
      <c r="F30" s="379"/>
      <c r="G30" s="379"/>
    </row>
    <row r="31" spans="1:7" ht="15">
      <c r="A31" s="308" t="s">
        <v>517</v>
      </c>
      <c r="B31" s="379">
        <f>Projeções!D140-Projeções!D144</f>
        <v>70464.3</v>
      </c>
      <c r="C31" s="379">
        <f>Projeções!E140-Projeções!E144</f>
        <v>366166.96</v>
      </c>
      <c r="D31" s="379">
        <f>Projeções!F140-Projeções!F144</f>
        <v>409885.07999999996</v>
      </c>
      <c r="E31" s="379">
        <f>Projeções!G140-Projeções!G144</f>
        <v>409885.07999999996</v>
      </c>
      <c r="F31" s="379">
        <f>Projeções!H140-Projeções!H144</f>
        <v>375727.99</v>
      </c>
      <c r="G31" s="379">
        <f>Projeções!I140-Projeções!I144</f>
        <v>0</v>
      </c>
    </row>
    <row r="32" spans="1:7" ht="15">
      <c r="A32" s="307" t="s">
        <v>522</v>
      </c>
      <c r="B32" s="380">
        <f aca="true" t="shared" si="4" ref="B32:G32">B27-B28-B29-B30-B31</f>
        <v>4463098.529999999</v>
      </c>
      <c r="C32" s="380">
        <f t="shared" si="4"/>
        <v>2567061.73</v>
      </c>
      <c r="D32" s="380">
        <f t="shared" si="4"/>
        <v>2974270.3842857145</v>
      </c>
      <c r="E32" s="380">
        <f t="shared" si="4"/>
        <v>3358275.253011533</v>
      </c>
      <c r="F32" s="380">
        <f t="shared" si="4"/>
        <v>2927167.0399356177</v>
      </c>
      <c r="G32" s="380">
        <f t="shared" si="4"/>
        <v>2859631.804037048</v>
      </c>
    </row>
    <row r="33" spans="1:7" ht="15">
      <c r="A33" s="310" t="s">
        <v>523</v>
      </c>
      <c r="B33" s="381">
        <f aca="true" t="shared" si="5" ref="B33:G33">B25+B32</f>
        <v>61062580.82000001</v>
      </c>
      <c r="C33" s="381">
        <f t="shared" si="5"/>
        <v>60884317.419999994</v>
      </c>
      <c r="D33" s="381">
        <f t="shared" si="5"/>
        <v>62511691.259428576</v>
      </c>
      <c r="E33" s="381">
        <f t="shared" si="5"/>
        <v>70679266.74548368</v>
      </c>
      <c r="F33" s="381">
        <f t="shared" si="5"/>
        <v>72616934.36061598</v>
      </c>
      <c r="G33" s="381">
        <f t="shared" si="5"/>
        <v>75162516.56529751</v>
      </c>
    </row>
    <row r="35" spans="1:7" ht="15">
      <c r="A35" s="324" t="s">
        <v>526</v>
      </c>
      <c r="B35" s="325">
        <f aca="true" t="shared" si="6" ref="B35:G35">B19-B33</f>
        <v>6058324.78199999</v>
      </c>
      <c r="C35" s="325">
        <f t="shared" si="6"/>
        <v>7334550.4760000035</v>
      </c>
      <c r="D35" s="325">
        <f t="shared" si="6"/>
        <v>10969908.740571424</v>
      </c>
      <c r="E35" s="325">
        <f t="shared" si="6"/>
        <v>9608187.457365513</v>
      </c>
      <c r="F35" s="325">
        <f t="shared" si="6"/>
        <v>10988528.602724671</v>
      </c>
      <c r="G35" s="325">
        <f t="shared" si="6"/>
        <v>12139161.490935996</v>
      </c>
    </row>
    <row r="37" spans="1:7" ht="15">
      <c r="A37" s="481" t="s">
        <v>527</v>
      </c>
      <c r="B37" s="302">
        <f>B21</f>
        <v>2016</v>
      </c>
      <c r="C37" s="302">
        <f>B37+1</f>
        <v>2017</v>
      </c>
      <c r="D37" s="302">
        <f>C37+1</f>
        <v>2018</v>
      </c>
      <c r="E37" s="302">
        <f>D37+1</f>
        <v>2019</v>
      </c>
      <c r="F37" s="302">
        <f>E37+1</f>
        <v>2020</v>
      </c>
      <c r="G37" s="302">
        <f>F37+1</f>
        <v>2021</v>
      </c>
    </row>
    <row r="38" spans="1:7" ht="15.75" thickBot="1">
      <c r="A38" s="481"/>
      <c r="B38" s="302" t="s">
        <v>125</v>
      </c>
      <c r="C38" s="302" t="s">
        <v>125</v>
      </c>
      <c r="D38" s="303" t="s">
        <v>125</v>
      </c>
      <c r="E38" s="303" t="s">
        <v>487</v>
      </c>
      <c r="F38" s="303" t="s">
        <v>487</v>
      </c>
      <c r="G38" s="303" t="s">
        <v>487</v>
      </c>
    </row>
    <row r="39" spans="1:7" ht="30.75" thickBot="1">
      <c r="A39" s="311" t="s">
        <v>528</v>
      </c>
      <c r="B39" s="309">
        <v>0</v>
      </c>
      <c r="C39" s="309">
        <v>0</v>
      </c>
      <c r="D39" s="309">
        <v>0</v>
      </c>
      <c r="E39" s="379">
        <f>((B39+C39+D39)/3)*(1+Parâmetros!E21)</f>
        <v>0</v>
      </c>
      <c r="F39" s="379">
        <f>((C39+D39+E39)/3)*(1+Parâmetros!F21)</f>
        <v>0</v>
      </c>
      <c r="G39" s="379">
        <f>((D39+E39+F39)/3)*(1+Parâmetros!G21)</f>
        <v>0</v>
      </c>
    </row>
    <row r="40" spans="1:7" ht="30.75" thickBot="1">
      <c r="A40" s="312" t="s">
        <v>529</v>
      </c>
      <c r="B40" s="309">
        <v>0</v>
      </c>
      <c r="C40" s="309">
        <v>0</v>
      </c>
      <c r="D40" s="309">
        <v>0</v>
      </c>
      <c r="E40" s="379">
        <f>((B40+C40+D40)/3)*(1+Parâmetros!E21)</f>
        <v>0</v>
      </c>
      <c r="F40" s="379">
        <f>((C40+D40+E40)/3)*(1+Parâmetros!F21)</f>
        <v>0</v>
      </c>
      <c r="G40" s="379">
        <f>((D40+E40+F40)/3)*(1+Parâmetros!G21)</f>
        <v>0</v>
      </c>
    </row>
    <row r="41" spans="1:7" ht="30.75" thickBot="1">
      <c r="A41" s="312" t="s">
        <v>530</v>
      </c>
      <c r="B41" s="309">
        <v>0</v>
      </c>
      <c r="C41" s="309">
        <v>0</v>
      </c>
      <c r="D41" s="309">
        <v>0</v>
      </c>
      <c r="E41" s="379">
        <f>((B41+C41+D41)/3)*(1+Parâmetros!E21)</f>
        <v>0</v>
      </c>
      <c r="F41" s="379">
        <f>((C41+D41+E41)/3)*(1+Parâmetros!F21)</f>
        <v>0</v>
      </c>
      <c r="G41" s="379">
        <f>((D41+E41+F41)/3)*(1+Parâmetros!G21)</f>
        <v>0</v>
      </c>
    </row>
    <row r="42" spans="1:7" ht="30.75" thickBot="1">
      <c r="A42" s="312" t="s">
        <v>531</v>
      </c>
      <c r="B42" s="309">
        <v>0</v>
      </c>
      <c r="C42" s="309">
        <v>0</v>
      </c>
      <c r="D42" s="309">
        <v>0</v>
      </c>
      <c r="E42" s="379">
        <f>((B42+C42+D42)/3)*(1+Parâmetros!E21)</f>
        <v>0</v>
      </c>
      <c r="F42" s="379">
        <f>((C42+D42+E42)/3)*(1+Parâmetros!F21)</f>
        <v>0</v>
      </c>
      <c r="G42" s="379">
        <f>((D42+E42+F42)/3)*(1+Parâmetros!G21)</f>
        <v>0</v>
      </c>
    </row>
    <row r="43" spans="1:7" ht="30.75" thickBot="1">
      <c r="A43" s="312" t="s">
        <v>532</v>
      </c>
      <c r="B43" s="309">
        <v>0</v>
      </c>
      <c r="C43" s="309">
        <v>0</v>
      </c>
      <c r="D43" s="309">
        <v>0</v>
      </c>
      <c r="E43" s="379">
        <f>((B43+C43+D43)/3)*(1+Parâmetros!E21)</f>
        <v>0</v>
      </c>
      <c r="F43" s="379">
        <f>((C43+D43+E43)/3)*(1+Parâmetros!F21)</f>
        <v>0</v>
      </c>
      <c r="G43" s="379">
        <f>((D43+E43+F43)/3)*(1+Parâmetros!G21)</f>
        <v>0</v>
      </c>
    </row>
    <row r="44" spans="1:7" ht="30.75" thickBot="1">
      <c r="A44" s="312" t="s">
        <v>533</v>
      </c>
      <c r="B44" s="309">
        <v>0</v>
      </c>
      <c r="C44" s="309">
        <v>0</v>
      </c>
      <c r="D44" s="309">
        <v>0</v>
      </c>
      <c r="E44" s="379">
        <f>((B44+C44+D44)/3)*(1+Parâmetros!E21)</f>
        <v>0</v>
      </c>
      <c r="F44" s="379">
        <f>((C44+D44+E44)/3)*(1+Parâmetros!F21)</f>
        <v>0</v>
      </c>
      <c r="G44" s="379">
        <f>((D44+E44+F44)/3)*(1+Parâmetros!G21)</f>
        <v>0</v>
      </c>
    </row>
    <row r="45" spans="1:7" ht="30.75" thickBot="1">
      <c r="A45" s="312" t="s">
        <v>534</v>
      </c>
      <c r="B45" s="309">
        <v>0</v>
      </c>
      <c r="C45" s="309">
        <v>0</v>
      </c>
      <c r="D45" s="309">
        <v>0</v>
      </c>
      <c r="E45" s="379">
        <f>((B45+C45+D45)/3)*(1+Parâmetros!E21)</f>
        <v>0</v>
      </c>
      <c r="F45" s="379">
        <f>((C45+D45+E45)/3)*(1+Parâmetros!F21)</f>
        <v>0</v>
      </c>
      <c r="G45" s="379">
        <f>((D45+E45+F45)/3)*(1+Parâmetros!G21)</f>
        <v>0</v>
      </c>
    </row>
    <row r="46" spans="1:7" ht="30.75" thickBot="1">
      <c r="A46" s="312" t="s">
        <v>535</v>
      </c>
      <c r="B46" s="309">
        <v>0</v>
      </c>
      <c r="C46" s="309">
        <v>0</v>
      </c>
      <c r="D46" s="309">
        <v>0</v>
      </c>
      <c r="E46" s="379">
        <f>((B46+C46+D46)/3)*(1+Parâmetros!E21)</f>
        <v>0</v>
      </c>
      <c r="F46" s="379">
        <f>((C46+D46+E46)/3)*(1+Parâmetros!F21)</f>
        <v>0</v>
      </c>
      <c r="G46" s="379">
        <f>((D46+E46+F46)/3)*(1+Parâmetros!G21)</f>
        <v>0</v>
      </c>
    </row>
    <row r="47" spans="1:7" ht="30.75" thickBot="1">
      <c r="A47" s="312" t="s">
        <v>536</v>
      </c>
      <c r="B47" s="309">
        <v>0</v>
      </c>
      <c r="C47" s="309">
        <v>0</v>
      </c>
      <c r="D47" s="309">
        <v>0</v>
      </c>
      <c r="E47" s="379">
        <f>((B47+C47+D47)/3)*(1+Parâmetros!E21)</f>
        <v>0</v>
      </c>
      <c r="F47" s="379">
        <f>((C47+D47+E47)/3)*(1+Parâmetros!F21)</f>
        <v>0</v>
      </c>
      <c r="G47" s="379">
        <f>((D47+E47+F47)/3)*(1+Parâmetros!G21)</f>
        <v>0</v>
      </c>
    </row>
    <row r="48" spans="1:7" ht="30.75" thickBot="1">
      <c r="A48" s="312" t="s">
        <v>537</v>
      </c>
      <c r="B48" s="309">
        <v>0</v>
      </c>
      <c r="C48" s="309">
        <v>0</v>
      </c>
      <c r="D48" s="309">
        <v>0</v>
      </c>
      <c r="E48" s="379">
        <f>((B48+C48+D48)/3)*(1+Parâmetros!E21)</f>
        <v>0</v>
      </c>
      <c r="F48" s="379">
        <f>((C48+D48+E48)/3)*(1+Parâmetros!F21)</f>
        <v>0</v>
      </c>
      <c r="G48" s="379">
        <f>((D48+E48+F48)/3)*(1+Parâmetros!G21)</f>
        <v>0</v>
      </c>
    </row>
    <row r="49" spans="1:7" ht="30.75" thickBot="1">
      <c r="A49" s="312" t="s">
        <v>538</v>
      </c>
      <c r="B49" s="309">
        <v>0</v>
      </c>
      <c r="C49" s="309">
        <v>0</v>
      </c>
      <c r="D49" s="309">
        <v>0</v>
      </c>
      <c r="E49" s="379">
        <f>((B49+C49+D49)/3)*(1+Parâmetros!E21)</f>
        <v>0</v>
      </c>
      <c r="F49" s="379">
        <f>((C49+D49+E49)/3)*(1+Parâmetros!F21)</f>
        <v>0</v>
      </c>
      <c r="G49" s="379">
        <f>((D49+E49+F49)/3)*(1+Parâmetros!G21)</f>
        <v>0</v>
      </c>
    </row>
    <row r="50" spans="1:7" ht="30.75" thickBot="1">
      <c r="A50" s="312" t="s">
        <v>539</v>
      </c>
      <c r="B50" s="309">
        <v>0</v>
      </c>
      <c r="C50" s="309">
        <v>0</v>
      </c>
      <c r="D50" s="309">
        <v>0</v>
      </c>
      <c r="E50" s="379">
        <f>((B50+C50+D50)/3)*(1+Parâmetros!E21)</f>
        <v>0</v>
      </c>
      <c r="F50" s="379">
        <f>((C50+D50+E50)/3)*(1+Parâmetros!F21)</f>
        <v>0</v>
      </c>
      <c r="G50" s="379">
        <f>((D50+E50+F50)/3)*(1+Parâmetros!G21)</f>
        <v>0</v>
      </c>
    </row>
    <row r="51" spans="1:7" ht="30.75" thickBot="1">
      <c r="A51" s="312" t="s">
        <v>540</v>
      </c>
      <c r="B51" s="309">
        <v>0</v>
      </c>
      <c r="C51" s="309">
        <v>0</v>
      </c>
      <c r="D51" s="309">
        <v>0</v>
      </c>
      <c r="E51" s="379">
        <f>((B51+C51+D51)/3)*(1+Parâmetros!E21)</f>
        <v>0</v>
      </c>
      <c r="F51" s="379">
        <f>((C51+D51+E51)/3)*(1+Parâmetros!F21)</f>
        <v>0</v>
      </c>
      <c r="G51" s="379">
        <f>((D51+E51+F51)/3)*(1+Parâmetros!G21)</f>
        <v>0</v>
      </c>
    </row>
    <row r="52" spans="1:7" ht="30.75" thickBot="1">
      <c r="A52" s="312" t="s">
        <v>541</v>
      </c>
      <c r="B52" s="309">
        <v>0</v>
      </c>
      <c r="C52" s="309">
        <v>0</v>
      </c>
      <c r="D52" s="309">
        <v>0</v>
      </c>
      <c r="E52" s="379">
        <f>((B52+C52+D52)/3)*(1+Parâmetros!E21)</f>
        <v>0</v>
      </c>
      <c r="F52" s="379">
        <f>((C52+D52+E52)/3)*(1+Parâmetros!F21)</f>
        <v>0</v>
      </c>
      <c r="G52" s="379">
        <f>((D52+E52+F52)/3)*(1+Parâmetros!G21)</f>
        <v>0</v>
      </c>
    </row>
    <row r="53" spans="1:7" ht="30.75" thickBot="1">
      <c r="A53" s="312" t="s">
        <v>542</v>
      </c>
      <c r="B53" s="309">
        <v>0</v>
      </c>
      <c r="C53" s="309">
        <v>0</v>
      </c>
      <c r="D53" s="309">
        <v>0</v>
      </c>
      <c r="E53" s="379">
        <f>((B53+C53+D53)/3)*(1+Parâmetros!E21)</f>
        <v>0</v>
      </c>
      <c r="F53" s="379">
        <f>((C53+D53+E53)/3)*(1+Parâmetros!F21)</f>
        <v>0</v>
      </c>
      <c r="G53" s="379">
        <f>((D53+E53+F53)/3)*(1+Parâmetros!G21)</f>
        <v>0</v>
      </c>
    </row>
    <row r="54" spans="1:7" ht="30.75" thickBot="1">
      <c r="A54" s="312" t="s">
        <v>543</v>
      </c>
      <c r="B54" s="309">
        <v>782.92</v>
      </c>
      <c r="C54" s="309">
        <v>0</v>
      </c>
      <c r="D54" s="309">
        <v>0</v>
      </c>
      <c r="E54" s="379">
        <f>((B54+C54+D54)/3)*(1+Parâmetros!E21)</f>
        <v>280.3375546666666</v>
      </c>
      <c r="F54" s="379">
        <f>((C54+D54+E54)/3)*(1+Parâmetros!F21)</f>
        <v>101.09906679795554</v>
      </c>
      <c r="G54" s="379">
        <f>((D54+E54+F54)/3)*(1+Parâmetros!G21)</f>
        <v>137.66047668658211</v>
      </c>
    </row>
    <row r="55" spans="1:7" ht="30">
      <c r="A55" s="313" t="s">
        <v>544</v>
      </c>
      <c r="B55" s="309">
        <v>6063645.5</v>
      </c>
      <c r="C55" s="309">
        <v>5823071.75</v>
      </c>
      <c r="D55" s="309">
        <v>3000000</v>
      </c>
      <c r="E55" s="379">
        <f>((B55+C55+D55)/3)*(1+Parâmetros!E21)</f>
        <v>5330437.223316667</v>
      </c>
      <c r="F55" s="379">
        <f>((C55+D55+E55)/3)*(1+Parâmetros!F21)</f>
        <v>5104227.119410434</v>
      </c>
      <c r="G55" s="379">
        <f>((D55+E55+F55)/3)*(1+Parâmetros!G21)</f>
        <v>4848570.361290211</v>
      </c>
    </row>
    <row r="56" spans="1:7" ht="15">
      <c r="A56" s="320" t="s">
        <v>545</v>
      </c>
      <c r="B56" s="321">
        <f aca="true" t="shared" si="7" ref="B56:G56">SUM(B39:B55)</f>
        <v>6064428.42</v>
      </c>
      <c r="C56" s="321">
        <f t="shared" si="7"/>
        <v>5823071.75</v>
      </c>
      <c r="D56" s="321">
        <f t="shared" si="7"/>
        <v>3000000</v>
      </c>
      <c r="E56" s="321">
        <f t="shared" si="7"/>
        <v>5330717.560871333</v>
      </c>
      <c r="F56" s="321">
        <f t="shared" si="7"/>
        <v>5104328.218477231</v>
      </c>
      <c r="G56" s="321">
        <f t="shared" si="7"/>
        <v>4848708.021766897</v>
      </c>
    </row>
    <row r="58" spans="1:7" ht="15">
      <c r="A58" s="481" t="s">
        <v>546</v>
      </c>
      <c r="B58" s="302">
        <f>B37</f>
        <v>2016</v>
      </c>
      <c r="C58" s="302">
        <f>B58+1</f>
        <v>2017</v>
      </c>
      <c r="D58" s="302">
        <f>C58+1</f>
        <v>2018</v>
      </c>
      <c r="E58" s="302">
        <f>D58+1</f>
        <v>2019</v>
      </c>
      <c r="F58" s="302">
        <f>E58+1</f>
        <v>2020</v>
      </c>
      <c r="G58" s="302">
        <f>F58+1</f>
        <v>2021</v>
      </c>
    </row>
    <row r="59" spans="1:7" ht="15.75" thickBot="1">
      <c r="A59" s="481"/>
      <c r="B59" s="302" t="s">
        <v>125</v>
      </c>
      <c r="C59" s="302" t="s">
        <v>125</v>
      </c>
      <c r="D59" s="303" t="s">
        <v>125</v>
      </c>
      <c r="E59" s="303" t="s">
        <v>487</v>
      </c>
      <c r="F59" s="303" t="s">
        <v>487</v>
      </c>
      <c r="G59" s="303" t="s">
        <v>487</v>
      </c>
    </row>
    <row r="60" spans="1:7" ht="30.75" thickBot="1">
      <c r="A60" s="322" t="s">
        <v>548</v>
      </c>
      <c r="B60" s="309">
        <v>317977.49</v>
      </c>
      <c r="C60" s="309">
        <v>0</v>
      </c>
      <c r="D60" s="309">
        <v>0</v>
      </c>
      <c r="E60" s="379">
        <f>((B60+C60+D60)/3)*(1+Parâmetros!E21)</f>
        <v>113857.13991933333</v>
      </c>
      <c r="F60" s="379">
        <f>((C60+D60+E60)/3)*(1+Parâmetros!F21)</f>
        <v>41060.67989290892</v>
      </c>
      <c r="G60" s="379">
        <f>((D60+E60+F60)/3)*(1+Parâmetros!G21)</f>
        <v>55909.84117023823</v>
      </c>
    </row>
    <row r="61" spans="1:7" ht="30.75" thickBot="1">
      <c r="A61" s="323" t="s">
        <v>549</v>
      </c>
      <c r="B61" s="309">
        <v>5470.53</v>
      </c>
      <c r="C61" s="309">
        <v>2580.63</v>
      </c>
      <c r="D61" s="309">
        <v>457.39</v>
      </c>
      <c r="E61" s="379">
        <f>((B61+C61+D61)/3)*(1+Parâmetros!E21)</f>
        <v>3046.6281366666663</v>
      </c>
      <c r="F61" s="379">
        <f>((C61+D61+E61)/3)*(1+Parâmetros!F21)</f>
        <v>2194.3269396865558</v>
      </c>
      <c r="G61" s="379">
        <f>((D61+E61+F61)/3)*(1+Parâmetros!G21)</f>
        <v>2056.532738055878</v>
      </c>
    </row>
    <row r="62" spans="1:7" ht="30.75" thickBot="1">
      <c r="A62" s="323" t="s">
        <v>550</v>
      </c>
      <c r="B62" s="309">
        <v>0</v>
      </c>
      <c r="C62" s="309">
        <v>0</v>
      </c>
      <c r="D62" s="309">
        <v>0</v>
      </c>
      <c r="E62" s="379">
        <f>((B62+C62+D62)/3)*(1+Parâmetros!E21)</f>
        <v>0</v>
      </c>
      <c r="F62" s="379">
        <f>((C62+D62+E62)/3)*(1+Parâmetros!F21)</f>
        <v>0</v>
      </c>
      <c r="G62" s="379">
        <f>((D62+E62+F62)/3)*(1+Parâmetros!G21)</f>
        <v>0</v>
      </c>
    </row>
    <row r="63" spans="1:7" ht="30.75" thickBot="1">
      <c r="A63" s="323" t="s">
        <v>551</v>
      </c>
      <c r="B63" s="309">
        <v>0</v>
      </c>
      <c r="C63" s="309">
        <v>0</v>
      </c>
      <c r="D63" s="309">
        <v>0</v>
      </c>
      <c r="E63" s="379">
        <f>((B63+C63+D63)/3)*(1+Parâmetros!E21)</f>
        <v>0</v>
      </c>
      <c r="F63" s="379">
        <f>((C63+D63+E63)/3)*(1+Parâmetros!F21)</f>
        <v>0</v>
      </c>
      <c r="G63" s="379">
        <f>((D63+E63+F63)/3)*(1+Parâmetros!G21)</f>
        <v>0</v>
      </c>
    </row>
    <row r="64" spans="1:7" ht="30.75" thickBot="1">
      <c r="A64" s="323" t="s">
        <v>552</v>
      </c>
      <c r="B64" s="309">
        <v>0</v>
      </c>
      <c r="C64" s="309">
        <v>0</v>
      </c>
      <c r="D64" s="309">
        <v>0</v>
      </c>
      <c r="E64" s="379">
        <f>((B64+C64+D64)/3)*(1+Parâmetros!E21)</f>
        <v>0</v>
      </c>
      <c r="F64" s="379">
        <f>((C64+D64+E64)/3)*(1+Parâmetros!F21)</f>
        <v>0</v>
      </c>
      <c r="G64" s="379">
        <f>((D64+E64+F64)/3)*(1+Parâmetros!G21)</f>
        <v>0</v>
      </c>
    </row>
    <row r="65" spans="1:7" ht="30.75" thickBot="1">
      <c r="A65" s="323" t="s">
        <v>553</v>
      </c>
      <c r="B65" s="309">
        <v>0</v>
      </c>
      <c r="C65" s="309">
        <v>0</v>
      </c>
      <c r="D65" s="309">
        <v>0</v>
      </c>
      <c r="E65" s="379">
        <f>((B65+C65+D65)/3)*(1+Parâmetros!E21)</f>
        <v>0</v>
      </c>
      <c r="F65" s="379">
        <f>((C65+D65+E65)/3)*(1+Parâmetros!F21)</f>
        <v>0</v>
      </c>
      <c r="G65" s="379">
        <f>((D65+E65+F65)/3)*(1+Parâmetros!G21)</f>
        <v>0</v>
      </c>
    </row>
    <row r="66" spans="1:7" ht="30.75" thickBot="1">
      <c r="A66" s="323" t="s">
        <v>554</v>
      </c>
      <c r="B66" s="309">
        <v>0</v>
      </c>
      <c r="C66" s="309">
        <v>0</v>
      </c>
      <c r="D66" s="309">
        <v>0</v>
      </c>
      <c r="E66" s="379">
        <f>((B66+C66+D66)/3)*(1+Parâmetros!E21)</f>
        <v>0</v>
      </c>
      <c r="F66" s="379">
        <f>((C66+D66+E66)/3)*(1+Parâmetros!F21)</f>
        <v>0</v>
      </c>
      <c r="G66" s="379">
        <f>((D66+E66+F66)/3)*(1+Parâmetros!G21)</f>
        <v>0</v>
      </c>
    </row>
    <row r="67" spans="1:7" ht="30.75" thickBot="1">
      <c r="A67" s="323" t="s">
        <v>555</v>
      </c>
      <c r="B67" s="309">
        <v>0</v>
      </c>
      <c r="C67" s="309">
        <v>0</v>
      </c>
      <c r="D67" s="309">
        <v>0</v>
      </c>
      <c r="E67" s="379">
        <f>((B67+C67+D67)/3)*(1+Parâmetros!E21)</f>
        <v>0</v>
      </c>
      <c r="F67" s="379">
        <f>((C67+D67+E67)/3)*(1+Parâmetros!F21)</f>
        <v>0</v>
      </c>
      <c r="G67" s="379">
        <f>((D67+E67+F67)/3)*(1+Parâmetros!G21)</f>
        <v>0</v>
      </c>
    </row>
    <row r="68" spans="1:7" ht="30.75" thickBot="1">
      <c r="A68" s="323" t="s">
        <v>556</v>
      </c>
      <c r="B68" s="309">
        <v>0</v>
      </c>
      <c r="C68" s="309">
        <v>0</v>
      </c>
      <c r="D68" s="309">
        <v>0</v>
      </c>
      <c r="E68" s="379">
        <f>((B68+C68+D68)/3)*(1+Parâmetros!E21)</f>
        <v>0</v>
      </c>
      <c r="F68" s="379">
        <f>((C68+D68+E68)/3)*(1+Parâmetros!F21)</f>
        <v>0</v>
      </c>
      <c r="G68" s="379">
        <f>((D68+E68+F68)/3)*(1+Parâmetros!G21)</f>
        <v>0</v>
      </c>
    </row>
    <row r="69" spans="1:7" ht="30.75" thickBot="1">
      <c r="A69" s="323" t="s">
        <v>557</v>
      </c>
      <c r="B69" s="309">
        <v>0</v>
      </c>
      <c r="C69" s="309">
        <v>0</v>
      </c>
      <c r="D69" s="309">
        <v>0</v>
      </c>
      <c r="E69" s="379">
        <f>((B69+C69+D69)/3)*(1+Parâmetros!E21)</f>
        <v>0</v>
      </c>
      <c r="F69" s="379">
        <f>((C69+D69+E69)/3)*(1+Parâmetros!F21)</f>
        <v>0</v>
      </c>
      <c r="G69" s="379">
        <f>((D69+E69+F69)/3)*(1+Parâmetros!G21)</f>
        <v>0</v>
      </c>
    </row>
    <row r="70" spans="1:7" ht="30.75" thickBot="1">
      <c r="A70" s="323" t="s">
        <v>558</v>
      </c>
      <c r="B70" s="309">
        <v>0</v>
      </c>
      <c r="C70" s="309">
        <v>0</v>
      </c>
      <c r="D70" s="309">
        <v>0</v>
      </c>
      <c r="E70" s="379">
        <f>((B70+C70+D70)/3)*(1+Parâmetros!E21)</f>
        <v>0</v>
      </c>
      <c r="F70" s="379">
        <f>((C70+D70+E70)/3)*(1+Parâmetros!F21)</f>
        <v>0</v>
      </c>
      <c r="G70" s="379">
        <f>((D70+E70+F70)/3)*(1+Parâmetros!G21)</f>
        <v>0</v>
      </c>
    </row>
    <row r="71" spans="1:7" ht="30.75" thickBot="1">
      <c r="A71" s="323" t="s">
        <v>559</v>
      </c>
      <c r="B71" s="309">
        <v>0</v>
      </c>
      <c r="C71" s="309">
        <v>0</v>
      </c>
      <c r="D71" s="309">
        <v>0</v>
      </c>
      <c r="E71" s="379">
        <f>((B71+C71+D71)/3)*(1+Parâmetros!E21)</f>
        <v>0</v>
      </c>
      <c r="F71" s="379">
        <f>((C71+D71+E71)/3)*(1+Parâmetros!F21)</f>
        <v>0</v>
      </c>
      <c r="G71" s="379">
        <f>((D71+E71+F71)/3)*(1+Parâmetros!G21)</f>
        <v>0</v>
      </c>
    </row>
    <row r="72" spans="1:7" ht="30.75" thickBot="1">
      <c r="A72" s="323" t="s">
        <v>560</v>
      </c>
      <c r="B72" s="309">
        <v>0</v>
      </c>
      <c r="C72" s="309">
        <v>0</v>
      </c>
      <c r="D72" s="309">
        <v>0</v>
      </c>
      <c r="E72" s="379">
        <f>((B72+C72+D72)/3)*(1+Parâmetros!E21)</f>
        <v>0</v>
      </c>
      <c r="F72" s="379">
        <f>((C72+D72+E72)/3)*(1+Parâmetros!F21)</f>
        <v>0</v>
      </c>
      <c r="G72" s="379">
        <f>((D72+E72+F72)/3)*(1+Parâmetros!G21)</f>
        <v>0</v>
      </c>
    </row>
    <row r="73" spans="1:7" ht="30.75" thickBot="1">
      <c r="A73" s="323" t="s">
        <v>561</v>
      </c>
      <c r="B73" s="309">
        <v>0</v>
      </c>
      <c r="C73" s="309">
        <v>0</v>
      </c>
      <c r="D73" s="309">
        <v>0</v>
      </c>
      <c r="E73" s="379">
        <f>((B73+C73+D73)/3)*(1+Parâmetros!E21)</f>
        <v>0</v>
      </c>
      <c r="F73" s="379">
        <f>((C73+D73+E73)/3)*(1+Parâmetros!F21)</f>
        <v>0</v>
      </c>
      <c r="G73" s="379">
        <f>((D73+E73+F73)/3)*(1+Parâmetros!G21)</f>
        <v>0</v>
      </c>
    </row>
    <row r="74" spans="1:7" ht="30.75" thickBot="1">
      <c r="A74" s="323" t="s">
        <v>562</v>
      </c>
      <c r="B74" s="309">
        <v>0</v>
      </c>
      <c r="C74" s="309">
        <v>0</v>
      </c>
      <c r="D74" s="309">
        <v>0</v>
      </c>
      <c r="E74" s="379">
        <f>((B74+C74+D74)/3)*(1+Parâmetros!E21)</f>
        <v>0</v>
      </c>
      <c r="F74" s="379">
        <f>((C74+D74+E74)/3)*(1+Parâmetros!F21)</f>
        <v>0</v>
      </c>
      <c r="G74" s="379">
        <f>((D74+E74+F74)/3)*(1+Parâmetros!G21)</f>
        <v>0</v>
      </c>
    </row>
    <row r="75" spans="1:7" ht="30.75" thickBot="1">
      <c r="A75" s="323" t="s">
        <v>563</v>
      </c>
      <c r="B75" s="309">
        <v>0</v>
      </c>
      <c r="C75" s="309">
        <v>0</v>
      </c>
      <c r="D75" s="309">
        <v>0</v>
      </c>
      <c r="E75" s="379">
        <f>((B75+C75+D75)/3)*(1+Parâmetros!E21)</f>
        <v>0</v>
      </c>
      <c r="F75" s="379">
        <f>((C75+D75+E75)/3)*(1+Parâmetros!F21)</f>
        <v>0</v>
      </c>
      <c r="G75" s="379">
        <f>((D75+E75+F75)/3)*(1+Parâmetros!G21)</f>
        <v>0</v>
      </c>
    </row>
    <row r="76" spans="1:7" ht="30.75" thickBot="1">
      <c r="A76" s="323" t="s">
        <v>564</v>
      </c>
      <c r="B76" s="309">
        <v>0</v>
      </c>
      <c r="C76" s="309">
        <v>0</v>
      </c>
      <c r="D76" s="309">
        <v>0</v>
      </c>
      <c r="E76" s="379">
        <f>((B76+C76+D76)/3)*(1+Parâmetros!E21)</f>
        <v>0</v>
      </c>
      <c r="F76" s="379">
        <f>((C76+D76+E76)/3)*(1+Parâmetros!F21)</f>
        <v>0</v>
      </c>
      <c r="G76" s="379">
        <f>((D76+E76+F76)/3)*(1+Parâmetros!G21)</f>
        <v>0</v>
      </c>
    </row>
    <row r="77" spans="1:7" ht="15">
      <c r="A77" s="320" t="s">
        <v>547</v>
      </c>
      <c r="B77" s="321">
        <f aca="true" t="shared" si="8" ref="B77:G77">SUM(B60:B76)</f>
        <v>323448.02</v>
      </c>
      <c r="C77" s="321">
        <f t="shared" si="8"/>
        <v>2580.63</v>
      </c>
      <c r="D77" s="321">
        <f t="shared" si="8"/>
        <v>457.39</v>
      </c>
      <c r="E77" s="321">
        <f t="shared" si="8"/>
        <v>116903.768056</v>
      </c>
      <c r="F77" s="321">
        <f t="shared" si="8"/>
        <v>43255.00683259548</v>
      </c>
      <c r="G77" s="321">
        <f t="shared" si="8"/>
        <v>57966.37390829411</v>
      </c>
    </row>
    <row r="79" spans="1:7" ht="15">
      <c r="A79" s="324" t="s">
        <v>565</v>
      </c>
      <c r="B79" s="325">
        <f aca="true" t="shared" si="9" ref="B79:G79">B35+B56-B77</f>
        <v>11799305.18199999</v>
      </c>
      <c r="C79" s="325">
        <f t="shared" si="9"/>
        <v>13155041.596000003</v>
      </c>
      <c r="D79" s="325">
        <f t="shared" si="9"/>
        <v>13969451.350571424</v>
      </c>
      <c r="E79" s="325">
        <f t="shared" si="9"/>
        <v>14822001.250180846</v>
      </c>
      <c r="F79" s="325">
        <f t="shared" si="9"/>
        <v>16049601.814369306</v>
      </c>
      <c r="G79" s="325">
        <f t="shared" si="9"/>
        <v>16929903.1387946</v>
      </c>
    </row>
  </sheetData>
  <sheetProtection/>
  <mergeCells count="7">
    <mergeCell ref="A58:A59"/>
    <mergeCell ref="A1:I1"/>
    <mergeCell ref="A2:I2"/>
    <mergeCell ref="A3:I3"/>
    <mergeCell ref="A5:A6"/>
    <mergeCell ref="A21:A22"/>
    <mergeCell ref="A37:A3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1"/>
  <dimension ref="A1:M22"/>
  <sheetViews>
    <sheetView view="pageBreakPreview" zoomScaleNormal="80" zoomScaleSheetLayoutView="100" workbookViewId="0" topLeftCell="A46">
      <selection activeCell="B12" sqref="B12"/>
    </sheetView>
  </sheetViews>
  <sheetFormatPr defaultColWidth="9.140625" defaultRowHeight="12.75"/>
  <cols>
    <col min="1" max="1" width="37.8515625" style="100" customWidth="1"/>
    <col min="2" max="2" width="16.00390625" style="100" customWidth="1"/>
    <col min="3" max="3" width="14.7109375" style="100" customWidth="1"/>
    <col min="4" max="4" width="7.28125" style="100" customWidth="1"/>
    <col min="5" max="5" width="9.7109375" style="100" customWidth="1"/>
    <col min="6" max="6" width="15.421875" style="100" customWidth="1"/>
    <col min="7" max="7" width="14.00390625" style="100" customWidth="1"/>
    <col min="8" max="8" width="7.28125" style="100" customWidth="1"/>
    <col min="9" max="9" width="8.57421875" style="100" customWidth="1"/>
    <col min="10" max="10" width="14.57421875" style="100" customWidth="1"/>
    <col min="11" max="11" width="14.8515625" style="100" customWidth="1"/>
    <col min="12" max="12" width="5.28125" style="100" customWidth="1"/>
    <col min="13" max="13" width="8.7109375" style="100" customWidth="1"/>
    <col min="14" max="16384" width="9.140625" style="100" customWidth="1"/>
  </cols>
  <sheetData>
    <row r="1" spans="1:13" ht="12.75">
      <c r="A1" s="486" t="str">
        <f>Parâmetros!A7</f>
        <v>Município de :Ivoti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8"/>
    </row>
    <row r="2" spans="1:13" s="11" customFormat="1" ht="12.75">
      <c r="A2" s="489" t="s">
        <v>36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8"/>
    </row>
    <row r="3" spans="1:13" ht="12.75">
      <c r="A3" s="489" t="s">
        <v>458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8"/>
    </row>
    <row r="4" spans="1:13" ht="12.75">
      <c r="A4" s="490" t="s">
        <v>633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2"/>
    </row>
    <row r="5" spans="1:13" s="11" customFormat="1" ht="17.25" customHeight="1">
      <c r="A5" s="489" t="s">
        <v>569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8"/>
    </row>
    <row r="6" spans="1:13" ht="12.75">
      <c r="A6" s="496" t="s">
        <v>472</v>
      </c>
      <c r="B6" s="497"/>
      <c r="C6" s="497"/>
      <c r="D6" s="498"/>
      <c r="E6" s="293"/>
      <c r="F6" s="506"/>
      <c r="G6" s="506"/>
      <c r="H6" s="506"/>
      <c r="I6" s="293"/>
      <c r="J6" s="510">
        <v>1</v>
      </c>
      <c r="K6" s="511"/>
      <c r="L6" s="511"/>
      <c r="M6" s="511"/>
    </row>
    <row r="7" spans="1:13" s="12" customFormat="1" ht="12.75">
      <c r="A7" s="505" t="s">
        <v>56</v>
      </c>
      <c r="B7" s="513">
        <f>Parâmetros!E10</f>
        <v>2019</v>
      </c>
      <c r="C7" s="514"/>
      <c r="D7" s="514"/>
      <c r="E7" s="515"/>
      <c r="F7" s="493">
        <f>B7+1</f>
        <v>2020</v>
      </c>
      <c r="G7" s="494"/>
      <c r="H7" s="494"/>
      <c r="I7" s="495"/>
      <c r="J7" s="505">
        <f>F7+1</f>
        <v>2021</v>
      </c>
      <c r="K7" s="505"/>
      <c r="L7" s="505"/>
      <c r="M7" s="505"/>
    </row>
    <row r="8" spans="1:13" ht="15.75" customHeight="1">
      <c r="A8" s="505"/>
      <c r="B8" s="499" t="s">
        <v>372</v>
      </c>
      <c r="C8" s="502" t="s">
        <v>473</v>
      </c>
      <c r="D8" s="179" t="s">
        <v>58</v>
      </c>
      <c r="E8" s="179" t="s">
        <v>373</v>
      </c>
      <c r="F8" s="499" t="s">
        <v>474</v>
      </c>
      <c r="G8" s="502" t="s">
        <v>475</v>
      </c>
      <c r="H8" s="179" t="s">
        <v>58</v>
      </c>
      <c r="I8" s="179" t="s">
        <v>373</v>
      </c>
      <c r="J8" s="499" t="s">
        <v>476</v>
      </c>
      <c r="K8" s="499" t="s">
        <v>475</v>
      </c>
      <c r="L8" s="330" t="s">
        <v>58</v>
      </c>
      <c r="M8" s="179" t="s">
        <v>373</v>
      </c>
    </row>
    <row r="9" spans="1:13" s="11" customFormat="1" ht="15.75" customHeight="1">
      <c r="A9" s="505"/>
      <c r="B9" s="500"/>
      <c r="C9" s="503"/>
      <c r="D9" s="179" t="s">
        <v>61</v>
      </c>
      <c r="E9" s="179" t="s">
        <v>374</v>
      </c>
      <c r="F9" s="500"/>
      <c r="G9" s="503"/>
      <c r="H9" s="179" t="s">
        <v>62</v>
      </c>
      <c r="I9" s="179" t="s">
        <v>392</v>
      </c>
      <c r="J9" s="500"/>
      <c r="K9" s="500"/>
      <c r="L9" s="330" t="s">
        <v>63</v>
      </c>
      <c r="M9" s="179" t="s">
        <v>393</v>
      </c>
    </row>
    <row r="10" spans="1:13" s="11" customFormat="1" ht="15.75" customHeight="1">
      <c r="A10" s="505"/>
      <c r="B10" s="501"/>
      <c r="C10" s="504"/>
      <c r="D10" s="179" t="s">
        <v>65</v>
      </c>
      <c r="E10" s="179" t="s">
        <v>65</v>
      </c>
      <c r="F10" s="501"/>
      <c r="G10" s="504"/>
      <c r="H10" s="179" t="s">
        <v>65</v>
      </c>
      <c r="I10" s="179" t="s">
        <v>65</v>
      </c>
      <c r="J10" s="501"/>
      <c r="K10" s="501"/>
      <c r="L10" s="330" t="s">
        <v>65</v>
      </c>
      <c r="M10" s="179" t="s">
        <v>65</v>
      </c>
    </row>
    <row r="11" spans="1:13" s="11" customFormat="1" ht="12.75">
      <c r="A11" s="331" t="s">
        <v>68</v>
      </c>
      <c r="B11" s="291">
        <f>'RPrim-Nom'!E7+'RPrim-Nom'!E13</f>
        <v>86135423.06704876</v>
      </c>
      <c r="C11" s="291">
        <f>B11/(1+Parâmetros!E11)</f>
        <v>82711180.20649967</v>
      </c>
      <c r="D11" s="507" t="s">
        <v>594</v>
      </c>
      <c r="E11" s="332">
        <f>B11/RCL!D14</f>
        <v>1.1636324710003043</v>
      </c>
      <c r="F11" s="291">
        <f>'RPrim-Nom'!F7+'RPrim-Nom'!F13</f>
        <v>89846098.21015638</v>
      </c>
      <c r="G11" s="291">
        <f>F11/((1+Parâmetros!E11)*(1+Parâmetros!F11))</f>
        <v>82932173.90456735</v>
      </c>
      <c r="H11" s="507" t="s">
        <v>594</v>
      </c>
      <c r="I11" s="332">
        <f>F11/RCL!E14</f>
        <v>1.1672108992776233</v>
      </c>
      <c r="J11" s="291">
        <f>'RPrim-Nom'!G7+'RPrim-Nom'!G13</f>
        <v>93954330.96104243</v>
      </c>
      <c r="K11" s="291">
        <f>J11/((1+Parâmetros!E11)*(1+Parâmetros!F11)*(1+Parâmetros!G11))</f>
        <v>83468975.87529282</v>
      </c>
      <c r="L11" s="507" t="s">
        <v>594</v>
      </c>
      <c r="M11" s="332">
        <f>J11/RCL!F14</f>
        <v>1.1692148884205962</v>
      </c>
    </row>
    <row r="12" spans="1:13" s="11" customFormat="1" ht="12.75">
      <c r="A12" s="331" t="s">
        <v>119</v>
      </c>
      <c r="B12" s="291">
        <f>'RPrim-Nom'!E19</f>
        <v>80287454.2028492</v>
      </c>
      <c r="C12" s="291">
        <f>B12/(1+Parâmetros!E11)</f>
        <v>77095692.53202341</v>
      </c>
      <c r="D12" s="508"/>
      <c r="E12" s="332">
        <f>B12/RCL!D14</f>
        <v>1.0846302879555378</v>
      </c>
      <c r="F12" s="291">
        <f>'RPrim-Nom'!F19</f>
        <v>83605462.96334065</v>
      </c>
      <c r="G12" s="291">
        <f>F12/((1+Parâmetros!E11)*(1+Parâmetros!F11))</f>
        <v>77171774.0889481</v>
      </c>
      <c r="H12" s="508"/>
      <c r="I12" s="332">
        <f>F12/RCL!E14</f>
        <v>1.086137401111222</v>
      </c>
      <c r="J12" s="291">
        <f>'RPrim-Nom'!G19</f>
        <v>87301678.05623351</v>
      </c>
      <c r="K12" s="291">
        <f>J12/((1+Parâmetros!E11)*(1+Parâmetros!F11)*(1+Parâmetros!G11))</f>
        <v>77558762.69897377</v>
      </c>
      <c r="L12" s="508"/>
      <c r="M12" s="332">
        <f>J12/RCL!F14</f>
        <v>1.0864259339973843</v>
      </c>
    </row>
    <row r="13" spans="1:13" s="11" customFormat="1" ht="12.75">
      <c r="A13" s="331" t="s">
        <v>69</v>
      </c>
      <c r="B13" s="291">
        <f>'RPrim-Nom'!E23+'RPrim-Nom'!E27</f>
        <v>71200763.05234274</v>
      </c>
      <c r="C13" s="291">
        <f>B13/(1+Parâmetros!E11)</f>
        <v>68370235.3104885</v>
      </c>
      <c r="D13" s="508"/>
      <c r="E13" s="332">
        <f>B13/RCL!D14</f>
        <v>0.9618751136011978</v>
      </c>
      <c r="F13" s="291">
        <f>'RPrim-Nom'!F23+'RPrim-Nom'!F27</f>
        <v>73113414.53695479</v>
      </c>
      <c r="G13" s="291">
        <f>F13/((1+Parâmetros!E11)*(1+Parâmetros!F11))</f>
        <v>67487119.97434333</v>
      </c>
      <c r="H13" s="508"/>
      <c r="I13" s="332">
        <f>F13/RCL!E14</f>
        <v>0.9498328367173299</v>
      </c>
      <c r="J13" s="291">
        <f>'RPrim-Nom'!G23+'RPrim-Nom'!G27</f>
        <v>75162516.56529751</v>
      </c>
      <c r="K13" s="291">
        <f>J13/((1+Parâmetros!E11)*(1+Parâmetros!F11)*(1+Parâmetros!G11))</f>
        <v>66774338.31673476</v>
      </c>
      <c r="L13" s="508"/>
      <c r="M13" s="332">
        <f>J13/RCL!F14</f>
        <v>0.9353601108153801</v>
      </c>
    </row>
    <row r="14" spans="1:13" s="11" customFormat="1" ht="12.75">
      <c r="A14" s="331" t="s">
        <v>120</v>
      </c>
      <c r="B14" s="291">
        <f>'RPrim-Nom'!E33</f>
        <v>70679266.74548368</v>
      </c>
      <c r="C14" s="291">
        <f>B14/(1+Parâmetros!E11)</f>
        <v>67869470.66015333</v>
      </c>
      <c r="D14" s="508"/>
      <c r="E14" s="332">
        <f>B14/RCL!D14</f>
        <v>0.9548300441679685</v>
      </c>
      <c r="F14" s="291">
        <f>'RPrim-Nom'!F33</f>
        <v>72616934.36061598</v>
      </c>
      <c r="G14" s="291">
        <f>F14/((1+Parâmetros!E11)*(1+Parâmetros!F11))</f>
        <v>67028845.423254974</v>
      </c>
      <c r="H14" s="508"/>
      <c r="I14" s="332">
        <f>F14/RCL!E14</f>
        <v>0.943382950916586</v>
      </c>
      <c r="J14" s="291">
        <f>'RPrim-Nom'!G33</f>
        <v>75162516.56529751</v>
      </c>
      <c r="K14" s="291">
        <f>J14/((1+Parâmetros!E11)*(1+Parâmetros!F11)*(1+Parâmetros!G11))</f>
        <v>66774338.31673476</v>
      </c>
      <c r="L14" s="508"/>
      <c r="M14" s="332">
        <f>J14/RCL!F14</f>
        <v>0.9353601108153801</v>
      </c>
    </row>
    <row r="15" spans="1:13" s="11" customFormat="1" ht="12.75">
      <c r="A15" s="331" t="s">
        <v>70</v>
      </c>
      <c r="B15" s="291">
        <f>B12-B14</f>
        <v>9608187.457365513</v>
      </c>
      <c r="C15" s="291">
        <f>B15/(1+Parâmetros!E11)</f>
        <v>9226221.87187009</v>
      </c>
      <c r="D15" s="508"/>
      <c r="E15" s="332">
        <f>B15/RCL!D14</f>
        <v>0.12980024378756946</v>
      </c>
      <c r="F15" s="291">
        <f>F12-F14</f>
        <v>10988528.602724671</v>
      </c>
      <c r="G15" s="291">
        <f>F15/((1+Parâmetros!E11)*(1+Parâmetros!F11))</f>
        <v>10142928.665693125</v>
      </c>
      <c r="H15" s="508"/>
      <c r="I15" s="332">
        <f>F15/RCL!E14</f>
        <v>0.14275445019463606</v>
      </c>
      <c r="J15" s="291">
        <f>J12-J14</f>
        <v>12139161.490935996</v>
      </c>
      <c r="K15" s="291">
        <f>J15/((1+Parâmetros!E11)*(1+Parâmetros!F11)*(1+Parâmetros!G11))</f>
        <v>10784424.382239018</v>
      </c>
      <c r="L15" s="508"/>
      <c r="M15" s="332">
        <f>J15/RCL!F14</f>
        <v>0.1510658231820041</v>
      </c>
    </row>
    <row r="16" spans="1:13" s="11" customFormat="1" ht="12.75">
      <c r="A16" s="331" t="s">
        <v>71</v>
      </c>
      <c r="B16" s="291">
        <f>'RPrim-Nom'!E79</f>
        <v>14822001.250180846</v>
      </c>
      <c r="C16" s="291">
        <f>B16/(1+Parâmetros!E11)</f>
        <v>14232764.787959328</v>
      </c>
      <c r="D16" s="508"/>
      <c r="E16" s="332">
        <f>B16/RCL!D14</f>
        <v>0.20023541216593319</v>
      </c>
      <c r="F16" s="291">
        <f>'RPrim-Nom'!F79</f>
        <v>16049601.814369306</v>
      </c>
      <c r="G16" s="291">
        <f>F16/((1+Parâmetros!E11)*(1+Parâmetros!F11))</f>
        <v>14814537.25074366</v>
      </c>
      <c r="H16" s="508"/>
      <c r="I16" s="332">
        <f>F16/RCL!E14</f>
        <v>0.208503992271087</v>
      </c>
      <c r="J16" s="291">
        <f>'RPrim-Nom'!G79</f>
        <v>16929903.1387946</v>
      </c>
      <c r="K16" s="291">
        <f>J16/((1+Parâmetros!E11)*(1+Parâmetros!F11)*(1+Parâmetros!G11))</f>
        <v>15040516.623433067</v>
      </c>
      <c r="L16" s="508"/>
      <c r="M16" s="332">
        <f>J16/RCL!F14</f>
        <v>0.21068421867220763</v>
      </c>
    </row>
    <row r="17" spans="1:13" s="11" customFormat="1" ht="12.75">
      <c r="A17" s="331" t="s">
        <v>72</v>
      </c>
      <c r="B17" s="291">
        <f>Dívida!E7</f>
        <v>1046960.93</v>
      </c>
      <c r="C17" s="291">
        <f>B17/(1+Parâmetros!E11)</f>
        <v>1005339.8598041098</v>
      </c>
      <c r="D17" s="508"/>
      <c r="E17" s="332">
        <f>B17/RCL!D14</f>
        <v>0.014143748189038973</v>
      </c>
      <c r="F17" s="291">
        <f>Dívida!F7</f>
        <v>1091240.2833333334</v>
      </c>
      <c r="G17" s="291">
        <f>F17/((1+Parâmetros!E11)*(1+Parâmetros!F11))</f>
        <v>1007266.1000524025</v>
      </c>
      <c r="H17" s="508"/>
      <c r="I17" s="332">
        <f>F17/RCL!E14</f>
        <v>0.014176548317748606</v>
      </c>
      <c r="J17" s="291">
        <f>Dívida!G7</f>
        <v>993475.6244444445</v>
      </c>
      <c r="K17" s="291">
        <f>J17/((1+Parâmetros!E11)*(1+Parâmetros!F11)*(1+Parâmetros!G11))</f>
        <v>882603.1975452934</v>
      </c>
      <c r="L17" s="508"/>
      <c r="M17" s="332">
        <f>J17/RCL!F14</f>
        <v>0.01236330970059313</v>
      </c>
    </row>
    <row r="18" spans="1:13" s="11" customFormat="1" ht="12.75">
      <c r="A18" s="331" t="s">
        <v>73</v>
      </c>
      <c r="B18" s="291">
        <f>Dívida!E15</f>
        <v>-3592213.0116666653</v>
      </c>
      <c r="C18" s="291">
        <f>B18/(1+Parâmetros!E11)</f>
        <v>-3449407.539530118</v>
      </c>
      <c r="D18" s="508"/>
      <c r="E18" s="332">
        <f>B18/RCL!D14</f>
        <v>-0.04852841669879948</v>
      </c>
      <c r="F18" s="291">
        <f>Dívida!F15</f>
        <v>-4246047.362222221</v>
      </c>
      <c r="G18" s="291">
        <f>F18/((1+Parâmetros!E11)*(1+Parâmetros!F11))</f>
        <v>-3919301.3972312575</v>
      </c>
      <c r="H18" s="508"/>
      <c r="I18" s="332">
        <f>F18/RCL!E14</f>
        <v>-0.0551613576856979</v>
      </c>
      <c r="J18" s="291">
        <f>Dívida!G15</f>
        <v>-4075754.1396296285</v>
      </c>
      <c r="K18" s="291">
        <f>J18/((1+Parâmetros!E11)*(1+Parâmetros!F11)*(1+Parâmetros!G11))</f>
        <v>-3620897.7327019833</v>
      </c>
      <c r="L18" s="508"/>
      <c r="M18" s="332">
        <f>J18/RCL!F14</f>
        <v>-0.050720731794394826</v>
      </c>
    </row>
    <row r="19" spans="1:13" s="11" customFormat="1" ht="12.75">
      <c r="A19" s="331" t="s">
        <v>192</v>
      </c>
      <c r="B19" s="291">
        <v>0</v>
      </c>
      <c r="C19" s="291">
        <f>B19/(1+Parâmetros!E11)</f>
        <v>0</v>
      </c>
      <c r="D19" s="508"/>
      <c r="E19" s="332">
        <f>B19/RCL!D14</f>
        <v>0</v>
      </c>
      <c r="F19" s="291">
        <v>0</v>
      </c>
      <c r="G19" s="291">
        <f>F19/((1+Parâmetros!E11)*(1+Parâmetros!F11))</f>
        <v>0</v>
      </c>
      <c r="H19" s="508"/>
      <c r="I19" s="332">
        <f>F19/RCL!E14</f>
        <v>0</v>
      </c>
      <c r="J19" s="291">
        <v>0</v>
      </c>
      <c r="K19" s="291">
        <f>J19/((1+Parâmetros!E11)*(1+Parâmetros!F11)*(1+Parâmetros!G11))</f>
        <v>0</v>
      </c>
      <c r="L19" s="508"/>
      <c r="M19" s="332">
        <f>J19/RCL!F14</f>
        <v>0</v>
      </c>
    </row>
    <row r="20" spans="1:13" s="11" customFormat="1" ht="12.75">
      <c r="A20" s="331" t="s">
        <v>193</v>
      </c>
      <c r="B20" s="291">
        <v>0</v>
      </c>
      <c r="C20" s="291">
        <f>B20/(1+Parâmetros!E11)</f>
        <v>0</v>
      </c>
      <c r="D20" s="508"/>
      <c r="E20" s="332">
        <f>B20/RCL!D14</f>
        <v>0</v>
      </c>
      <c r="F20" s="291">
        <v>0</v>
      </c>
      <c r="G20" s="291">
        <f>F20/((1+Parâmetros!E11)*(1+Parâmetros!F11))</f>
        <v>0</v>
      </c>
      <c r="H20" s="508"/>
      <c r="I20" s="332">
        <f>F20/RCL!E14</f>
        <v>0</v>
      </c>
      <c r="J20" s="291">
        <v>0</v>
      </c>
      <c r="K20" s="291">
        <f>J20/((1+Parâmetros!E11)*(1+Parâmetros!F11)*(1+Parâmetros!G11))</f>
        <v>0</v>
      </c>
      <c r="L20" s="508"/>
      <c r="M20" s="332">
        <f>J20/RCL!F14</f>
        <v>0</v>
      </c>
    </row>
    <row r="21" spans="1:13" s="11" customFormat="1" ht="12.75">
      <c r="A21" s="331" t="s">
        <v>194</v>
      </c>
      <c r="B21" s="291">
        <v>0</v>
      </c>
      <c r="C21" s="291">
        <f>B21/(1+Parâmetros!E11)</f>
        <v>0</v>
      </c>
      <c r="D21" s="509"/>
      <c r="E21" s="332">
        <f>B21/RCL!D14</f>
        <v>0</v>
      </c>
      <c r="F21" s="291">
        <v>0</v>
      </c>
      <c r="G21" s="291">
        <f>F21/((1+Parâmetros!E11)*(1+Parâmetros!F11))</f>
        <v>0</v>
      </c>
      <c r="H21" s="509"/>
      <c r="I21" s="332">
        <f>F21/RCL!E14</f>
        <v>0</v>
      </c>
      <c r="J21" s="291">
        <v>0</v>
      </c>
      <c r="K21" s="291">
        <f>J21/((1+Parâmetros!E11)*(1+Parâmetros!F11)*(1+Parâmetros!G11))</f>
        <v>0</v>
      </c>
      <c r="L21" s="509"/>
      <c r="M21" s="332">
        <f>J21/RCL!F14</f>
        <v>0</v>
      </c>
    </row>
    <row r="22" spans="1:13" ht="12.75">
      <c r="A22" s="512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</row>
    <row r="23" s="101" customFormat="1" ht="15" customHeight="1"/>
  </sheetData>
  <sheetProtection/>
  <mergeCells count="22">
    <mergeCell ref="D11:D21"/>
    <mergeCell ref="H11:H21"/>
    <mergeCell ref="J6:M6"/>
    <mergeCell ref="L11:L21"/>
    <mergeCell ref="A22:M22"/>
    <mergeCell ref="A7:A10"/>
    <mergeCell ref="B7:E7"/>
    <mergeCell ref="B8:B10"/>
    <mergeCell ref="C8:C10"/>
    <mergeCell ref="J8:J10"/>
    <mergeCell ref="K8:K10"/>
    <mergeCell ref="A5:M5"/>
    <mergeCell ref="F8:F10"/>
    <mergeCell ref="G8:G10"/>
    <mergeCell ref="J7:M7"/>
    <mergeCell ref="F6:H6"/>
    <mergeCell ref="A1:M1"/>
    <mergeCell ref="A2:M2"/>
    <mergeCell ref="A3:M3"/>
    <mergeCell ref="A4:M4"/>
    <mergeCell ref="F7:I7"/>
    <mergeCell ref="A6:D6"/>
  </mergeCells>
  <printOptions/>
  <pageMargins left="0.787401575" right="0.787401575" top="0.984251969" bottom="0.984251969" header="0.492125985" footer="0.492125985"/>
  <pageSetup horizontalDpi="300" verticalDpi="300" orientation="portrait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SheetLayoutView="90" zoomScalePageLayoutView="0" workbookViewId="0" topLeftCell="A1">
      <selection activeCell="A18" sqref="A18"/>
    </sheetView>
  </sheetViews>
  <sheetFormatPr defaultColWidth="9.140625" defaultRowHeight="12.75"/>
  <cols>
    <col min="1" max="1" width="30.00390625" style="13" customWidth="1"/>
    <col min="2" max="3" width="15.57421875" style="13" bestFit="1" customWidth="1"/>
    <col min="4" max="4" width="12.140625" style="13" customWidth="1"/>
    <col min="5" max="6" width="15.57421875" style="13" bestFit="1" customWidth="1"/>
    <col min="7" max="7" width="10.7109375" style="13" customWidth="1"/>
    <col min="8" max="9" width="14.28125" style="13" bestFit="1" customWidth="1"/>
    <col min="10" max="10" width="10.140625" style="13" customWidth="1"/>
    <col min="11" max="16384" width="9.140625" style="13" customWidth="1"/>
  </cols>
  <sheetData>
    <row r="1" spans="1:10" ht="14.25">
      <c r="A1" s="532" t="str">
        <f>Parâmetros!A7</f>
        <v>Município de :Ivoti</v>
      </c>
      <c r="B1" s="530"/>
      <c r="C1" s="530"/>
      <c r="D1" s="530"/>
      <c r="E1" s="530"/>
      <c r="F1" s="530"/>
      <c r="G1" s="530"/>
      <c r="H1" s="530"/>
      <c r="I1" s="530"/>
      <c r="J1" s="531"/>
    </row>
    <row r="2" spans="1:10" ht="14.25">
      <c r="A2" s="529" t="s">
        <v>36</v>
      </c>
      <c r="B2" s="530"/>
      <c r="C2" s="530"/>
      <c r="D2" s="530"/>
      <c r="E2" s="530"/>
      <c r="F2" s="530"/>
      <c r="G2" s="530"/>
      <c r="H2" s="530"/>
      <c r="I2" s="530"/>
      <c r="J2" s="531"/>
    </row>
    <row r="3" spans="1:10" ht="14.25">
      <c r="A3" s="529" t="str">
        <f>'Metas Cons'!A3:M3</f>
        <v>ANEXO DE METAS FISCAIS</v>
      </c>
      <c r="B3" s="530"/>
      <c r="C3" s="530"/>
      <c r="D3" s="530"/>
      <c r="E3" s="530"/>
      <c r="F3" s="530"/>
      <c r="G3" s="530"/>
      <c r="H3" s="530"/>
      <c r="I3" s="530"/>
      <c r="J3" s="531"/>
    </row>
    <row r="4" spans="1:10" ht="15">
      <c r="A4" s="533" t="s">
        <v>459</v>
      </c>
      <c r="B4" s="534"/>
      <c r="C4" s="534"/>
      <c r="D4" s="534"/>
      <c r="E4" s="534"/>
      <c r="F4" s="534"/>
      <c r="G4" s="534"/>
      <c r="H4" s="534"/>
      <c r="I4" s="534"/>
      <c r="J4" s="535"/>
    </row>
    <row r="5" spans="1:10" ht="17.25" customHeight="1">
      <c r="A5" s="529" t="s">
        <v>569</v>
      </c>
      <c r="B5" s="530"/>
      <c r="C5" s="530"/>
      <c r="D5" s="530"/>
      <c r="E5" s="530"/>
      <c r="F5" s="530"/>
      <c r="G5" s="530"/>
      <c r="H5" s="530"/>
      <c r="I5" s="530"/>
      <c r="J5" s="531"/>
    </row>
    <row r="6" spans="1:10" ht="21.75" customHeight="1">
      <c r="A6" s="162"/>
      <c r="B6" s="163"/>
      <c r="C6" s="163"/>
      <c r="D6" s="163"/>
      <c r="E6" s="163"/>
      <c r="F6" s="163"/>
      <c r="G6" s="163"/>
      <c r="H6" s="163"/>
      <c r="I6" s="163"/>
      <c r="J6" s="164"/>
    </row>
    <row r="7" spans="1:10" ht="15">
      <c r="A7" s="523" t="s">
        <v>472</v>
      </c>
      <c r="B7" s="524"/>
      <c r="C7" s="524"/>
      <c r="D7" s="525"/>
      <c r="E7" s="536"/>
      <c r="F7" s="536"/>
      <c r="G7" s="536"/>
      <c r="H7" s="537">
        <v>1</v>
      </c>
      <c r="I7" s="538"/>
      <c r="J7" s="538"/>
    </row>
    <row r="8" spans="1:10" s="14" customFormat="1" ht="14.25">
      <c r="A8" s="517" t="s">
        <v>56</v>
      </c>
      <c r="B8" s="520">
        <f>Parâmetros!E10</f>
        <v>2019</v>
      </c>
      <c r="C8" s="521"/>
      <c r="D8" s="522"/>
      <c r="E8" s="520">
        <f>B8+1</f>
        <v>2020</v>
      </c>
      <c r="F8" s="521"/>
      <c r="G8" s="522"/>
      <c r="H8" s="520">
        <f>E8+1</f>
        <v>2021</v>
      </c>
      <c r="I8" s="521"/>
      <c r="J8" s="522"/>
    </row>
    <row r="9" spans="1:10" ht="15.75" customHeight="1">
      <c r="A9" s="518"/>
      <c r="B9" s="248" t="s">
        <v>57</v>
      </c>
      <c r="C9" s="249" t="s">
        <v>57</v>
      </c>
      <c r="D9" s="249" t="s">
        <v>58</v>
      </c>
      <c r="E9" s="249" t="s">
        <v>57</v>
      </c>
      <c r="F9" s="249" t="s">
        <v>57</v>
      </c>
      <c r="G9" s="249" t="s">
        <v>58</v>
      </c>
      <c r="H9" s="249" t="s">
        <v>57</v>
      </c>
      <c r="I9" s="249" t="s">
        <v>57</v>
      </c>
      <c r="J9" s="250" t="s">
        <v>58</v>
      </c>
    </row>
    <row r="10" spans="1:10" ht="15.75" customHeight="1">
      <c r="A10" s="518"/>
      <c r="B10" s="251" t="s">
        <v>59</v>
      </c>
      <c r="C10" s="252" t="s">
        <v>60</v>
      </c>
      <c r="D10" s="252" t="s">
        <v>61</v>
      </c>
      <c r="E10" s="252" t="s">
        <v>59</v>
      </c>
      <c r="F10" s="252" t="s">
        <v>60</v>
      </c>
      <c r="G10" s="252" t="s">
        <v>62</v>
      </c>
      <c r="H10" s="252" t="s">
        <v>59</v>
      </c>
      <c r="I10" s="252" t="s">
        <v>60</v>
      </c>
      <c r="J10" s="253" t="s">
        <v>63</v>
      </c>
    </row>
    <row r="11" spans="1:10" ht="15.75" customHeight="1">
      <c r="A11" s="519"/>
      <c r="B11" s="255" t="s">
        <v>64</v>
      </c>
      <c r="C11" s="256"/>
      <c r="D11" s="257" t="s">
        <v>65</v>
      </c>
      <c r="E11" s="257" t="s">
        <v>66</v>
      </c>
      <c r="F11" s="256"/>
      <c r="G11" s="257" t="s">
        <v>65</v>
      </c>
      <c r="H11" s="257" t="s">
        <v>67</v>
      </c>
      <c r="I11" s="256"/>
      <c r="J11" s="258" t="s">
        <v>65</v>
      </c>
    </row>
    <row r="12" spans="1:10" ht="14.25">
      <c r="A12" s="259" t="s">
        <v>144</v>
      </c>
      <c r="B12" s="260">
        <f>Projeções!G17+Projeções!G28+Projeções!G72+Projeções!G95+Projeções!G97</f>
        <v>15958657.468233012</v>
      </c>
      <c r="C12" s="260">
        <f>B12/(1+Parâmetros!E11)</f>
        <v>15324234.173452094</v>
      </c>
      <c r="D12" s="526" t="s">
        <v>600</v>
      </c>
      <c r="E12" s="260">
        <f>Projeções!H17+Projeções!H28+Projeções!H72+Projeções!H95+Projeções!H97</f>
        <v>17034109.86414249</v>
      </c>
      <c r="F12" s="260">
        <f>E12/((1+Parâmetros!E11)*(1+Parâmetros!F11))</f>
        <v>15723284.479847109</v>
      </c>
      <c r="G12" s="526" t="s">
        <v>600</v>
      </c>
      <c r="H12" s="261">
        <f>Projeções!I17+Projeções!I28+Projeções!I72+Projeções!I95+Projeções!I97</f>
        <v>18055008.12525958</v>
      </c>
      <c r="I12" s="261">
        <f>H12/((1+Parâmetros!E11)*(1+Parâmetros!F11)*(1+Parâmetros!G11))</f>
        <v>16040059.273695314</v>
      </c>
      <c r="J12" s="526" t="s">
        <v>600</v>
      </c>
    </row>
    <row r="13" spans="1:10" ht="14.25">
      <c r="A13" s="259" t="s">
        <v>145</v>
      </c>
      <c r="B13" s="260">
        <f>B12-Projeções!G28</f>
        <v>10875621.466775998</v>
      </c>
      <c r="C13" s="260">
        <f>B13/(1+Parâmetros!E11)</f>
        <v>10443270.08524678</v>
      </c>
      <c r="D13" s="527"/>
      <c r="E13" s="260">
        <f>E12-Projeções!H28</f>
        <v>11609271.35890178</v>
      </c>
      <c r="F13" s="260">
        <f>E13/((1+Parâmetros!E11)*(1+Parâmetros!F11))</f>
        <v>10715903.421757279</v>
      </c>
      <c r="G13" s="527"/>
      <c r="H13" s="261">
        <f>H12-Projeções!I28</f>
        <v>12271490.690213215</v>
      </c>
      <c r="I13" s="261">
        <f>H13/((1+Parâmetros!E11)*(1+Parâmetros!F11)*(1+Parâmetros!G11))</f>
        <v>10901985.569989339</v>
      </c>
      <c r="J13" s="527"/>
    </row>
    <row r="14" spans="1:10" ht="14.25">
      <c r="A14" s="259" t="s">
        <v>146</v>
      </c>
      <c r="B14" s="260">
        <f>Projeções!G117+Projeções!G122+Projeções!G127+Projeções!G133+Projeções!G143+Projeções!G146</f>
        <v>15958657.468233012</v>
      </c>
      <c r="C14" s="260">
        <f>B14/(1+Parâmetros!E11)</f>
        <v>15324234.173452094</v>
      </c>
      <c r="D14" s="527"/>
      <c r="E14" s="260">
        <f>Projeções!H117+Projeções!H122+Projeções!H127+Projeções!H133+Projeções!H143+Projeções!H146</f>
        <v>17034109.86414249</v>
      </c>
      <c r="F14" s="260">
        <f>E14/((1+Parâmetros!E11)*(1+Parâmetros!F11))</f>
        <v>15723284.479847109</v>
      </c>
      <c r="G14" s="527"/>
      <c r="H14" s="261">
        <f>Projeções!I117+Projeções!I122+Projeções!I127+Projeções!I133+Projeções!I143+Projeções!I146</f>
        <v>18055008.12525958</v>
      </c>
      <c r="I14" s="261">
        <f>H14/((1+Parâmetros!E11)*(1+Parâmetros!F11)*(1+Parâmetros!G11))</f>
        <v>16040059.273695314</v>
      </c>
      <c r="J14" s="527"/>
    </row>
    <row r="15" spans="1:10" ht="28.5">
      <c r="A15" s="259" t="s">
        <v>147</v>
      </c>
      <c r="B15" s="260">
        <f>B14-Projeções!G122-Projeções!G143</f>
        <v>15958657.468233012</v>
      </c>
      <c r="C15" s="260">
        <f>B15/(1+Parâmetros!E11)</f>
        <v>15324234.173452094</v>
      </c>
      <c r="D15" s="527"/>
      <c r="E15" s="260">
        <f>E14-Projeções!H122-Projeções!H143</f>
        <v>17034109.86414249</v>
      </c>
      <c r="F15" s="260">
        <f>E15/((1+Parâmetros!E11)*(1+Parâmetros!F11))</f>
        <v>15723284.479847109</v>
      </c>
      <c r="G15" s="527"/>
      <c r="H15" s="261">
        <f>H14-Projeções!I122-Projeções!I143</f>
        <v>18055008.12525958</v>
      </c>
      <c r="I15" s="261">
        <f>H15/((1+Parâmetros!E11)*(1+Parâmetros!F11)*(1+Parâmetros!G11))</f>
        <v>16040059.273695314</v>
      </c>
      <c r="J15" s="527"/>
    </row>
    <row r="16" spans="1:10" ht="28.5">
      <c r="A16" s="259" t="s">
        <v>148</v>
      </c>
      <c r="B16" s="260">
        <f>B13-B15</f>
        <v>-5083036.001457013</v>
      </c>
      <c r="C16" s="260">
        <f>C13-C15</f>
        <v>-4880964.088205313</v>
      </c>
      <c r="D16" s="528"/>
      <c r="E16" s="260">
        <f>E13-E15</f>
        <v>-5424838.505240709</v>
      </c>
      <c r="F16" s="260">
        <f>F13-F15</f>
        <v>-5007381.05808983</v>
      </c>
      <c r="G16" s="528"/>
      <c r="H16" s="261">
        <f>H13-H15</f>
        <v>-5783517.435046364</v>
      </c>
      <c r="I16" s="261">
        <f>I13-I15</f>
        <v>-5138073.703705976</v>
      </c>
      <c r="J16" s="528"/>
    </row>
    <row r="17" spans="1:10" ht="14.25">
      <c r="A17" s="516"/>
      <c r="B17" s="516"/>
      <c r="C17" s="516"/>
      <c r="D17" s="516"/>
      <c r="E17" s="516"/>
      <c r="F17" s="516"/>
      <c r="G17" s="516"/>
      <c r="H17" s="516"/>
      <c r="I17" s="516"/>
      <c r="J17" s="516"/>
    </row>
    <row r="18" s="165" customFormat="1" ht="15" customHeight="1"/>
  </sheetData>
  <sheetProtection/>
  <mergeCells count="16">
    <mergeCell ref="A5:J5"/>
    <mergeCell ref="A1:J1"/>
    <mergeCell ref="A2:J2"/>
    <mergeCell ref="A3:J3"/>
    <mergeCell ref="A4:J4"/>
    <mergeCell ref="E7:G7"/>
    <mergeCell ref="H7:J7"/>
    <mergeCell ref="A17:J17"/>
    <mergeCell ref="A8:A11"/>
    <mergeCell ref="B8:D8"/>
    <mergeCell ref="E8:G8"/>
    <mergeCell ref="H8:J8"/>
    <mergeCell ref="A7:D7"/>
    <mergeCell ref="D12:D16"/>
    <mergeCell ref="G12:G16"/>
    <mergeCell ref="J12:J16"/>
  </mergeCells>
  <printOptions/>
  <pageMargins left="0.787401575" right="0.787401575" top="0.984251969" bottom="0.984251969" header="0.492125985" footer="0.492125985"/>
  <pageSetup horizontalDpi="300" verticalDpi="300" orientation="portrait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2"/>
  <dimension ref="A1:I19"/>
  <sheetViews>
    <sheetView view="pageBreakPreview" zoomScaleNormal="90" zoomScaleSheetLayoutView="100" zoomScalePageLayoutView="0" workbookViewId="0" topLeftCell="A7">
      <selection activeCell="E17" sqref="E17"/>
    </sheetView>
  </sheetViews>
  <sheetFormatPr defaultColWidth="9.140625" defaultRowHeight="12.75"/>
  <cols>
    <col min="1" max="1" width="20.7109375" style="11" customWidth="1"/>
    <col min="2" max="2" width="17.28125" style="11" customWidth="1"/>
    <col min="3" max="3" width="9.7109375" style="11" customWidth="1"/>
    <col min="4" max="4" width="10.57421875" style="11" customWidth="1"/>
    <col min="5" max="5" width="17.28125" style="11" customWidth="1"/>
    <col min="6" max="6" width="9.7109375" style="11" customWidth="1"/>
    <col min="7" max="7" width="10.57421875" style="11" customWidth="1"/>
    <col min="8" max="8" width="16.8515625" style="11" customWidth="1"/>
    <col min="9" max="9" width="10.140625" style="11" customWidth="1"/>
    <col min="10" max="16384" width="9.140625" style="11" customWidth="1"/>
  </cols>
  <sheetData>
    <row r="1" spans="1:9" ht="12.75">
      <c r="A1" s="486" t="str">
        <f>Parâmetros!A7</f>
        <v>Município de :Ivoti</v>
      </c>
      <c r="B1" s="487"/>
      <c r="C1" s="487"/>
      <c r="D1" s="487"/>
      <c r="E1" s="487"/>
      <c r="F1" s="487"/>
      <c r="G1" s="487"/>
      <c r="H1" s="487"/>
      <c r="I1" s="488"/>
    </row>
    <row r="2" spans="1:9" ht="12.75">
      <c r="A2" s="489" t="s">
        <v>36</v>
      </c>
      <c r="B2" s="487"/>
      <c r="C2" s="487"/>
      <c r="D2" s="487"/>
      <c r="E2" s="487"/>
      <c r="F2" s="487"/>
      <c r="G2" s="487"/>
      <c r="H2" s="487"/>
      <c r="I2" s="488"/>
    </row>
    <row r="3" spans="1:9" ht="12.75">
      <c r="A3" s="489" t="str">
        <f>'Metas Cons'!A3:M3</f>
        <v>ANEXO DE METAS FISCAIS</v>
      </c>
      <c r="B3" s="487"/>
      <c r="C3" s="487"/>
      <c r="D3" s="487"/>
      <c r="E3" s="487"/>
      <c r="F3" s="487"/>
      <c r="G3" s="487"/>
      <c r="H3" s="487"/>
      <c r="I3" s="488"/>
    </row>
    <row r="4" spans="1:9" ht="12.75">
      <c r="A4" s="490" t="s">
        <v>460</v>
      </c>
      <c r="B4" s="491"/>
      <c r="C4" s="491"/>
      <c r="D4" s="491"/>
      <c r="E4" s="491"/>
      <c r="F4" s="491"/>
      <c r="G4" s="491"/>
      <c r="H4" s="491"/>
      <c r="I4" s="492"/>
    </row>
    <row r="5" spans="1:9" ht="12.75">
      <c r="A5" s="489" t="s">
        <v>569</v>
      </c>
      <c r="B5" s="487"/>
      <c r="C5" s="487"/>
      <c r="D5" s="487"/>
      <c r="E5" s="487"/>
      <c r="F5" s="487"/>
      <c r="G5" s="487"/>
      <c r="H5" s="487"/>
      <c r="I5" s="488"/>
    </row>
    <row r="6" spans="1:9" ht="12.75">
      <c r="A6" s="489"/>
      <c r="B6" s="487"/>
      <c r="C6" s="487"/>
      <c r="D6" s="487"/>
      <c r="E6" s="487"/>
      <c r="F6" s="487"/>
      <c r="G6" s="487"/>
      <c r="H6" s="487"/>
      <c r="I6" s="488"/>
    </row>
    <row r="7" spans="1:9" ht="12.75" customHeight="1">
      <c r="A7" s="549" t="s">
        <v>471</v>
      </c>
      <c r="B7" s="550"/>
      <c r="C7" s="290"/>
      <c r="D7" s="290"/>
      <c r="E7" s="290"/>
      <c r="F7" s="290"/>
      <c r="G7" s="290"/>
      <c r="H7" s="510">
        <v>1</v>
      </c>
      <c r="I7" s="511"/>
    </row>
    <row r="8" spans="1:9" ht="10.5" customHeight="1">
      <c r="A8" s="542" t="s">
        <v>56</v>
      </c>
      <c r="B8" s="502" t="s">
        <v>114</v>
      </c>
      <c r="C8" s="502" t="s">
        <v>58</v>
      </c>
      <c r="D8" s="502" t="s">
        <v>373</v>
      </c>
      <c r="E8" s="502" t="s">
        <v>115</v>
      </c>
      <c r="F8" s="502" t="s">
        <v>58</v>
      </c>
      <c r="G8" s="502" t="s">
        <v>373</v>
      </c>
      <c r="H8" s="545" t="s">
        <v>74</v>
      </c>
      <c r="I8" s="546"/>
    </row>
    <row r="9" spans="1:9" ht="12.75" customHeight="1">
      <c r="A9" s="543"/>
      <c r="B9" s="503"/>
      <c r="C9" s="503"/>
      <c r="D9" s="503"/>
      <c r="E9" s="503"/>
      <c r="F9" s="503"/>
      <c r="G9" s="503"/>
      <c r="H9" s="547"/>
      <c r="I9" s="548"/>
    </row>
    <row r="10" spans="1:9" ht="22.5" customHeight="1">
      <c r="A10" s="544"/>
      <c r="B10" s="334" t="s">
        <v>570</v>
      </c>
      <c r="C10" s="504"/>
      <c r="D10" s="504"/>
      <c r="E10" s="335" t="s">
        <v>571</v>
      </c>
      <c r="F10" s="504"/>
      <c r="G10" s="504"/>
      <c r="H10" s="336" t="s">
        <v>116</v>
      </c>
      <c r="I10" s="333" t="s">
        <v>75</v>
      </c>
    </row>
    <row r="11" spans="1:9" ht="12.75">
      <c r="A11" s="331" t="s">
        <v>39</v>
      </c>
      <c r="B11" s="291">
        <v>80643063</v>
      </c>
      <c r="C11" s="539" t="s">
        <v>595</v>
      </c>
      <c r="D11" s="387">
        <f>B11/RCL!B14</f>
        <v>1.256290756469249</v>
      </c>
      <c r="E11" s="337">
        <f>Projeções!E105</f>
        <v>81394294.48599999</v>
      </c>
      <c r="F11" s="539" t="s">
        <v>595</v>
      </c>
      <c r="G11" s="332">
        <f>E11/RCL!B14</f>
        <v>1.267993749097771</v>
      </c>
      <c r="H11" s="388">
        <f aca="true" t="shared" si="0" ref="H11:H18">E11-B11</f>
        <v>751231.4859999865</v>
      </c>
      <c r="I11" s="389">
        <f aca="true" t="shared" si="1" ref="I11:I18">IF(B11=0,"-",(H11/B11))</f>
        <v>0.0093155128048644</v>
      </c>
    </row>
    <row r="12" spans="1:9" ht="12.75">
      <c r="A12" s="331" t="s">
        <v>121</v>
      </c>
      <c r="B12" s="291">
        <v>73255369</v>
      </c>
      <c r="C12" s="540"/>
      <c r="D12" s="387">
        <f>B12/RCL!B14</f>
        <v>1.1412022251243603</v>
      </c>
      <c r="E12" s="337">
        <f>E11-Projeções!E25-Projeções!E79-Projeções!E80-Projeções!E85</f>
        <v>74511305.74599998</v>
      </c>
      <c r="F12" s="540"/>
      <c r="G12" s="332">
        <f>E12/RCL!B14</f>
        <v>1.1607677235815534</v>
      </c>
      <c r="H12" s="388">
        <f t="shared" si="0"/>
        <v>1255936.745999977</v>
      </c>
      <c r="I12" s="389">
        <f t="shared" si="1"/>
        <v>0.01714463749407879</v>
      </c>
    </row>
    <row r="13" spans="1:9" ht="12.75">
      <c r="A13" s="331" t="s">
        <v>40</v>
      </c>
      <c r="B13" s="291">
        <v>80643063</v>
      </c>
      <c r="C13" s="540"/>
      <c r="D13" s="387">
        <f>B13/RCL!B14</f>
        <v>1.256290756469249</v>
      </c>
      <c r="E13" s="337">
        <f>Projeções!E147</f>
        <v>68000371.63</v>
      </c>
      <c r="F13" s="540"/>
      <c r="G13" s="332">
        <f>E13/RCL!B14</f>
        <v>1.0593377178052221</v>
      </c>
      <c r="H13" s="388">
        <f t="shared" si="0"/>
        <v>-12642691.370000005</v>
      </c>
      <c r="I13" s="389">
        <f t="shared" si="1"/>
        <v>-0.15677345204509413</v>
      </c>
    </row>
    <row r="14" spans="1:9" ht="12.75">
      <c r="A14" s="331" t="s">
        <v>122</v>
      </c>
      <c r="B14" s="291">
        <v>80524234</v>
      </c>
      <c r="C14" s="540"/>
      <c r="D14" s="387">
        <f>B14/RCL!B14</f>
        <v>1.25443958950278</v>
      </c>
      <c r="E14" s="337">
        <f>E13-Projeções!E119-Projeções!E140-Projeções!E136</f>
        <v>67483578.19</v>
      </c>
      <c r="F14" s="540"/>
      <c r="G14" s="332">
        <f>E14/RCL!B14</f>
        <v>1.051286897343753</v>
      </c>
      <c r="H14" s="388">
        <f t="shared" si="0"/>
        <v>-13040655.810000002</v>
      </c>
      <c r="I14" s="389">
        <f t="shared" si="1"/>
        <v>-0.16194697126830168</v>
      </c>
    </row>
    <row r="15" spans="1:9" ht="25.5">
      <c r="A15" s="331" t="s">
        <v>76</v>
      </c>
      <c r="B15" s="386">
        <f>B12-B14</f>
        <v>-7268865</v>
      </c>
      <c r="C15" s="540"/>
      <c r="D15" s="387">
        <f>B15/RCL!B14</f>
        <v>-0.1132373643784196</v>
      </c>
      <c r="E15" s="386">
        <f>E12-E14</f>
        <v>7027727.555999979</v>
      </c>
      <c r="F15" s="540"/>
      <c r="G15" s="332">
        <f>E15/RCL!B14</f>
        <v>0.10948082623780052</v>
      </c>
      <c r="H15" s="388">
        <f t="shared" si="0"/>
        <v>14296592.55599998</v>
      </c>
      <c r="I15" s="389">
        <f t="shared" si="1"/>
        <v>-1.9668259839741113</v>
      </c>
    </row>
    <row r="16" spans="1:9" ht="15" customHeight="1">
      <c r="A16" s="331" t="s">
        <v>37</v>
      </c>
      <c r="B16" s="292">
        <v>-189187.83</v>
      </c>
      <c r="C16" s="540"/>
      <c r="D16" s="387">
        <f>B16/RCL!B14</f>
        <v>-0.0029472457174087702</v>
      </c>
      <c r="E16" s="337">
        <f>'RPrim-Nom'!C79</f>
        <v>13155041.596000003</v>
      </c>
      <c r="F16" s="540"/>
      <c r="G16" s="332">
        <f>E16/RCL!B14</f>
        <v>0.20493464091292365</v>
      </c>
      <c r="H16" s="388">
        <f t="shared" si="0"/>
        <v>13344229.426000003</v>
      </c>
      <c r="I16" s="389">
        <f t="shared" si="1"/>
        <v>-70.53429084735527</v>
      </c>
    </row>
    <row r="17" spans="1:9" ht="27" customHeight="1">
      <c r="A17" s="331" t="s">
        <v>77</v>
      </c>
      <c r="B17" s="292">
        <v>1527714.89</v>
      </c>
      <c r="C17" s="540"/>
      <c r="D17" s="387">
        <f>B17/RCL!B14</f>
        <v>0.023799370006908533</v>
      </c>
      <c r="E17" s="337">
        <f>Dívida!C7</f>
        <v>1384534.26</v>
      </c>
      <c r="F17" s="540"/>
      <c r="G17" s="332">
        <f>E17/RCL!B14</f>
        <v>0.021568843346798372</v>
      </c>
      <c r="H17" s="388">
        <f t="shared" si="0"/>
        <v>-143180.6299999999</v>
      </c>
      <c r="I17" s="389">
        <f t="shared" si="1"/>
        <v>-0.09372208841925989</v>
      </c>
    </row>
    <row r="18" spans="1:9" ht="28.5" customHeight="1">
      <c r="A18" s="331" t="s">
        <v>78</v>
      </c>
      <c r="B18" s="292">
        <v>-189187.83</v>
      </c>
      <c r="C18" s="541"/>
      <c r="D18" s="387">
        <f>B18/RCL!B14</f>
        <v>-0.0029472457174087702</v>
      </c>
      <c r="E18" s="337">
        <f>Dívida!C15</f>
        <v>-4756927.029999999</v>
      </c>
      <c r="F18" s="541"/>
      <c r="G18" s="332">
        <f>E18/RCL!B14</f>
        <v>-0.0741053629992665</v>
      </c>
      <c r="H18" s="388">
        <f t="shared" si="0"/>
        <v>-4567739.199999999</v>
      </c>
      <c r="I18" s="389">
        <f t="shared" si="1"/>
        <v>24.14393779980456</v>
      </c>
    </row>
    <row r="19" spans="1:9" ht="12.75">
      <c r="A19" s="512"/>
      <c r="B19" s="512"/>
      <c r="C19" s="512"/>
      <c r="D19" s="512"/>
      <c r="E19" s="512"/>
      <c r="F19" s="512"/>
      <c r="G19" s="512"/>
      <c r="H19" s="512"/>
      <c r="I19" s="512"/>
    </row>
  </sheetData>
  <sheetProtection/>
  <mergeCells count="19">
    <mergeCell ref="F8:F10"/>
    <mergeCell ref="D8:D10"/>
    <mergeCell ref="G8:G10"/>
    <mergeCell ref="A5:I5"/>
    <mergeCell ref="A6:I6"/>
    <mergeCell ref="A1:I1"/>
    <mergeCell ref="A2:I2"/>
    <mergeCell ref="A3:I3"/>
    <mergeCell ref="A4:I4"/>
    <mergeCell ref="C11:C18"/>
    <mergeCell ref="F11:F18"/>
    <mergeCell ref="A19:I19"/>
    <mergeCell ref="H7:I7"/>
    <mergeCell ref="A8:A10"/>
    <mergeCell ref="B8:B9"/>
    <mergeCell ref="E8:E9"/>
    <mergeCell ref="H8:I9"/>
    <mergeCell ref="A7:B7"/>
    <mergeCell ref="C8:C10"/>
  </mergeCells>
  <printOptions/>
  <pageMargins left="0.787401575" right="0.787401575" top="0.984251969" bottom="0.984251969" header="0.492125985" footer="0.49212598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Câmara Ivoti</cp:lastModifiedBy>
  <cp:lastPrinted>2018-08-20T20:19:32Z</cp:lastPrinted>
  <dcterms:created xsi:type="dcterms:W3CDTF">2000-07-04T17:38:30Z</dcterms:created>
  <dcterms:modified xsi:type="dcterms:W3CDTF">2022-02-16T18:41:59Z</dcterms:modified>
  <cp:category/>
  <cp:version/>
  <cp:contentType/>
  <cp:contentStatus/>
</cp:coreProperties>
</file>