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330" tabRatio="500" firstSheet="13" activeTab="17"/>
  </bookViews>
  <sheets>
    <sheet name="Parâmetros" sheetId="1" r:id="rId1"/>
    <sheet name="Projeções" sheetId="2" r:id="rId2"/>
    <sheet name="Projeções - RPPS" sheetId="3" r:id="rId3"/>
    <sheet name="RCL" sheetId="4" r:id="rId4"/>
    <sheet name="Pessoal" sheetId="5" r:id="rId5"/>
    <sheet name="Dívida" sheetId="6" r:id="rId6"/>
    <sheet name=" Dem-1-Metas" sheetId="7" r:id="rId7"/>
    <sheet name="Dem-1A-Metas RPPS" sheetId="8" r:id="rId8"/>
    <sheet name=" Dem-2-Avalia" sheetId="9" r:id="rId9"/>
    <sheet name="Dem-3-Comp" sheetId="10" r:id="rId10"/>
    <sheet name="Dem-4-Patr" sheetId="11" r:id="rId11"/>
    <sheet name="Dem-5-Alien" sheetId="12" r:id="rId12"/>
    <sheet name="Dem-6-RPPS" sheetId="13" r:id="rId13"/>
    <sheet name="Dem-7-Renúnci" sheetId="14" r:id="rId14"/>
    <sheet name="Dem-8-Docc" sheetId="15" r:id="rId15"/>
    <sheet name="Anexo Riscos" sheetId="16" r:id="rId16"/>
    <sheet name="Anexo III - Metas e Prioridades" sheetId="17" r:id="rId17"/>
    <sheet name="Anexo IV - Cons do Patrimônio" sheetId="18" r:id="rId18"/>
  </sheets>
  <externalReferences>
    <externalReference r:id="rId21"/>
  </externalReferences>
  <definedNames>
    <definedName name="_xlfn.SINGLE" hidden="1">#NAME?</definedName>
    <definedName name="_xlfn_SINGLE">NA()</definedName>
    <definedName name="_xlnm.Print_Area" localSheetId="0">'Parâmetros'!$A$7:$G$26</definedName>
    <definedName name="_xlnm.Print_Area" localSheetId="1">'Projeções'!$A$1:$AM$180</definedName>
    <definedName name="Excel_BuiltIn_Print_Area" localSheetId="0">'Parâmetros'!$A$7:$G$26</definedName>
    <definedName name="Excel_BuiltIn_Print_Area" localSheetId="1">'Projeções'!$A$1:$AM$180</definedName>
    <definedName name="Z_16B3F100_CCE8_11D8_BD62_000C6E3CD3F1__wvu_Cols" localSheetId="0">('Parâmetros'!$C:$C,'Parâmetros'!#REF!)</definedName>
    <definedName name="Z_16B3F100_CCE8_11D8_BD62_000C6E3CD3F1__wvu_Rows" localSheetId="5">('Dívida'!$25:$25,'Dívida'!#REF!)</definedName>
    <definedName name="Z_16B3F100_CCE8_11D8_BD62_000C6E3CD3F1__wvu_Rows" localSheetId="0">('Parâmetros'!$1:$6,'Parâmetros'!#REF!,'Parâmetros'!$12:$12)</definedName>
  </definedNames>
  <calcPr fullCalcOnLoad="1"/>
</workbook>
</file>

<file path=xl/comments18.xml><?xml version="1.0" encoding="utf-8"?>
<comments xmlns="http://schemas.openxmlformats.org/spreadsheetml/2006/main">
  <authors>
    <author> </author>
  </authors>
  <commentList>
    <comment ref="B95" authorId="0">
      <text>
        <r>
          <rPr>
            <b/>
            <sz val="9"/>
            <color indexed="8"/>
            <rFont val="Segoe UI"/>
            <family val="2"/>
          </rPr>
          <t xml:space="preserve">dpu:
</t>
        </r>
        <r>
          <rPr>
            <sz val="9"/>
            <color indexed="8"/>
            <rFont val="Segoe UI"/>
            <family val="2"/>
          </rPr>
          <t>Verificar de qual dotação sairá.</t>
        </r>
      </text>
    </comment>
  </commentList>
</comments>
</file>

<file path=xl/sharedStrings.xml><?xml version="1.0" encoding="utf-8"?>
<sst xmlns="http://schemas.openxmlformats.org/spreadsheetml/2006/main" count="1281" uniqueCount="842">
  <si>
    <t>Município de Ivoti</t>
  </si>
  <si>
    <t>LEI DE DIRETRIZES ORÇAMENTÁRIAS  PARA 2024</t>
  </si>
  <si>
    <r>
      <rPr>
        <b/>
        <sz val="9"/>
        <color indexed="10"/>
        <rFont val="Arial"/>
        <family val="2"/>
      </rPr>
      <t xml:space="preserve">TABELA  01 </t>
    </r>
    <r>
      <rPr>
        <b/>
        <sz val="9"/>
        <rFont val="Arial"/>
        <family val="2"/>
      </rPr>
      <t>- Parâmentos Utilizados nas Estimativas das Receitas e Despesas</t>
    </r>
  </si>
  <si>
    <t>Indicador</t>
  </si>
  <si>
    <t>INFLAÇÃO MÉDIA ANUAL   (I P C A)</t>
  </si>
  <si>
    <t xml:space="preserve">VARIAÇÃODO PIB </t>
  </si>
  <si>
    <t>CRESCIMENTO VEGETATIVO DA FOLHA SALARIAL</t>
  </si>
  <si>
    <t>CRESCIMENTO AUTÔNOMO DE OUTROS CUSTEIOS</t>
  </si>
  <si>
    <t>ESFORÇO NA ARRECADAÇÃO TRIBUTÁRIA</t>
  </si>
  <si>
    <t>CRESC.REAL DAS TRANSFER CORR DA UNIÃO</t>
  </si>
  <si>
    <t>CRESC.REAL DAS TRANSFER CORR DO ESTADO</t>
  </si>
  <si>
    <t>PERCENTUAL DE AUMENTO SALARIAL (acima do IPCA)- EXECUTVO</t>
  </si>
  <si>
    <t>PERCENTUAL DE AUMENTO SALARIAL -(acima do IPCA)  LEGISLATIVO</t>
  </si>
  <si>
    <t xml:space="preserve">CRESCIMENTO DOS INVESTIMENTOS </t>
  </si>
  <si>
    <t>Taxa de Juros Selic (Média do Ano)</t>
  </si>
  <si>
    <t>Taxa de Câmbio (Média do Ano)</t>
  </si>
  <si>
    <r>
      <rPr>
        <b/>
        <sz val="12"/>
        <color indexed="10"/>
        <rFont val="Arial"/>
        <family val="2"/>
      </rPr>
      <t xml:space="preserve">Tabela 02 </t>
    </r>
    <r>
      <rPr>
        <b/>
        <sz val="12"/>
        <rFont val="Arial"/>
        <family val="2"/>
      </rPr>
      <t xml:space="preserve">- Memória de Cálculo das Estimativas das Receitas - </t>
    </r>
    <r>
      <rPr>
        <b/>
        <sz val="12"/>
        <color indexed="10"/>
        <rFont val="Arial"/>
        <family val="2"/>
      </rPr>
      <t>EXCETO RPPS</t>
    </r>
  </si>
  <si>
    <t>Valores em R$ 1,00</t>
  </si>
  <si>
    <t>Código até 2022</t>
  </si>
  <si>
    <t>Código a partir de 2023</t>
  </si>
  <si>
    <t>CONTAS</t>
  </si>
  <si>
    <t>ARRECADADA</t>
  </si>
  <si>
    <t>REESTIMADO</t>
  </si>
  <si>
    <t>PROJETADO</t>
  </si>
  <si>
    <t>CONSOLIDADAS ANUAIS</t>
  </si>
  <si>
    <t>1.0.0.0.00.0.0.00.00.00</t>
  </si>
  <si>
    <t>Receitas Correntes</t>
  </si>
  <si>
    <t>1.1.0.0.00.0.0.00.00.00</t>
  </si>
  <si>
    <t>Impostos, Taxas e Contribuições de Melhoria</t>
  </si>
  <si>
    <t>1.1.1.3.03.1.1.01.00.00</t>
  </si>
  <si>
    <t>IRRF s/Rend.Trabalho - Principal - Ativos/Inativos do Poder Executivo/Indiretas</t>
  </si>
  <si>
    <t>1.1.1.3.03.1.1.02.00.00</t>
  </si>
  <si>
    <t>IRRF s/Rend.Trabalho - Principal - Ativos/Inativos do Poder Legislativo</t>
  </si>
  <si>
    <t>1.1.1.0.00.0.0.00.00.00</t>
  </si>
  <si>
    <t xml:space="preserve"> Demais Impostos</t>
  </si>
  <si>
    <t>1.1.2.0.00.0.0.00.00.00</t>
  </si>
  <si>
    <t>Taxas</t>
  </si>
  <si>
    <t>1.1.3.0.00.0.0.00.00.00</t>
  </si>
  <si>
    <t>Contribuição de Melhoria</t>
  </si>
  <si>
    <t>1.2.0.0.00.0.0.00.00.00</t>
  </si>
  <si>
    <t>Contribuições</t>
  </si>
  <si>
    <t>1.2.1.0.00.0.0.00.00.00</t>
  </si>
  <si>
    <t>Contribuições Sociais</t>
  </si>
  <si>
    <t>1.2.1.0.06.0.0.00.00.00</t>
  </si>
  <si>
    <t>Contribuição para os Fundos de Assistência Médica</t>
  </si>
  <si>
    <t>1.2.1.0.99.0.0.00.00.00</t>
  </si>
  <si>
    <t>Outras Contribuições Sociais</t>
  </si>
  <si>
    <t>1.2.1.8.00.0.0.00.00.00</t>
  </si>
  <si>
    <t xml:space="preserve">Contribuições Sociais específicas de Estados, DF, Municípios </t>
  </si>
  <si>
    <t>1.2.2.0.00.0.0.00.00.00</t>
  </si>
  <si>
    <t>Contribuições Econômicas</t>
  </si>
  <si>
    <t>1.2.4.0.00.0.0.00.00.00</t>
  </si>
  <si>
    <t>Contribuição para o Custeio do Serviço de Iluminação Pública</t>
  </si>
  <si>
    <t>1.3.0.0.00.0.0.00.00.00</t>
  </si>
  <si>
    <t>Receita Patrimonial</t>
  </si>
  <si>
    <t>1.3.1.0.00.0.0.00.00.00</t>
  </si>
  <si>
    <t>Exploração do Patrimônio Imobiliário do Estado</t>
  </si>
  <si>
    <t>1.3.2.0.00.0.0.00.00.00</t>
  </si>
  <si>
    <t>Valores Mobiliários</t>
  </si>
  <si>
    <t>1.3.2.1.00.1.1.01.00.00</t>
  </si>
  <si>
    <t>Remuneração de Depósitos de Recursos Vinculados - Principal</t>
  </si>
  <si>
    <t>1.3.2.1.00.1.1.02.00.00</t>
  </si>
  <si>
    <t>Remuneração de Depósitos de Recursos Não Vinculados - Principal</t>
  </si>
  <si>
    <t>1.3.2.1.00.5.0.00.00.00</t>
  </si>
  <si>
    <t>Juros de Títulos de Renda</t>
  </si>
  <si>
    <t>1.3.2.9.00.0.0.00.00.00</t>
  </si>
  <si>
    <t>Outros Valores Mobiliários</t>
  </si>
  <si>
    <t>1.3.3.0.00.0.0.00.00.00</t>
  </si>
  <si>
    <t>Delegação de Serviços Públicos Mediante Concessão, Permissão, Autorização ou Licença</t>
  </si>
  <si>
    <t>1.3.6.0.00.0.0.00.00.00</t>
  </si>
  <si>
    <t>Cessão de Direitos</t>
  </si>
  <si>
    <t>1.3.9.0.00.0.0.00.00.00</t>
  </si>
  <si>
    <t>Demais Receitas Patrimoniais</t>
  </si>
  <si>
    <t>1.4.0.0.00.0.0.00.00.00</t>
  </si>
  <si>
    <t>Receita Agropecuária</t>
  </si>
  <si>
    <t>1.5.0.0.00.0.0.00.00.00</t>
  </si>
  <si>
    <t>Receita Industrial</t>
  </si>
  <si>
    <t>1.6.0.0.00.0.0.00.00</t>
  </si>
  <si>
    <t>Receita de Serviços</t>
  </si>
  <si>
    <t>1.6.4.0.01.1.0.00.00 + 1.6.4.0.03.1.0.00.00</t>
  </si>
  <si>
    <t xml:space="preserve">1.6.4.1.01.00 +1.6.4.1.03.00 </t>
  </si>
  <si>
    <t>Retorno de Operações -  Juros e Encargos Financeiros / Rem. s/Repasse para Programas de Desenv.Econômico</t>
  </si>
  <si>
    <t>Demais Serviços</t>
  </si>
  <si>
    <t>1.7.0.0.00.0.0.00.00.00</t>
  </si>
  <si>
    <t>Transferências Correntes</t>
  </si>
  <si>
    <t>1.7.1.0.00.0.0.00.00.00</t>
  </si>
  <si>
    <t>Transferências da União e de suas Entidades</t>
  </si>
  <si>
    <t>1.7.1.8.01.2.0.00.00.00</t>
  </si>
  <si>
    <t>Cota-Parte do Fundo de Participação dos Municípios - Cota Mensal</t>
  </si>
  <si>
    <t>1.7.1.8.01.3.0.00.00.00</t>
  </si>
  <si>
    <t>Cota-Parte do Fundo de Participação do Municípios – 1% Cota entregue no mês de dezembro</t>
  </si>
  <si>
    <t>1.7.1.8.01.4.0.00.00.00</t>
  </si>
  <si>
    <t>Cota-Parte do Fundo de Participação dos Municípios - 1% Cota entregue no mês de julho</t>
  </si>
  <si>
    <t>1.7.1.8.01.5.0.00.00.00</t>
  </si>
  <si>
    <t>Cota-Parte do Imposto Sobre a Propriedade Territorial Rural</t>
  </si>
  <si>
    <t>1.7.1.8.02.0.0.00.00.00</t>
  </si>
  <si>
    <t>Transferência da Compensação Financeira pela Exploração de Recursos Naturais</t>
  </si>
  <si>
    <t>1.7.1.8.03.0.0.00.00.00</t>
  </si>
  <si>
    <t>Transferência de Recursos do Sistema Único de Saúde – SUS – Repasses Fundo a Fundo</t>
  </si>
  <si>
    <t>1.7.1.8.12.0.0.00.00.00</t>
  </si>
  <si>
    <t>Transferências de Recursos do Fundo Nacional de Assistência Social – FNAS</t>
  </si>
  <si>
    <t>1.7.1.8.05.0.0.00.00.00</t>
  </si>
  <si>
    <t>Transferências de Recursos do Fundo Nacional do Desenvolvimento da Educação – FNDE</t>
  </si>
  <si>
    <t>1.7.1.8.06.0.0.00.00.00</t>
  </si>
  <si>
    <t>Transferência Financeira do ICMS – Desoneração – L.C. Nº 87/96</t>
  </si>
  <si>
    <t>1.7.1.8.10.0.0.00.00.00</t>
  </si>
  <si>
    <t>Transferências de Convênios da União e de Suas Entidades</t>
  </si>
  <si>
    <t>1.7.1.8.99.0.0.00.00.00</t>
  </si>
  <si>
    <t>Outras Transferências da União</t>
  </si>
  <si>
    <t>1.7.2.0.00.0.0.00.00.00</t>
  </si>
  <si>
    <t>Transferências dos Estados e do Distrito Federal e de suas Entidades</t>
  </si>
  <si>
    <t>1.7.2.8.01.1.0.00.00.00</t>
  </si>
  <si>
    <t>Cota-Parte do ICMS</t>
  </si>
  <si>
    <t>1.7.2.8.01.2.0.00.00.00</t>
  </si>
  <si>
    <t>Cota-Parte do IPVA</t>
  </si>
  <si>
    <t>1.7.2.8.01.3.0.00.00.00</t>
  </si>
  <si>
    <t>Cota-Parte do IPI - Municípios</t>
  </si>
  <si>
    <t>1.7.2.8.01.4.0.00.00.00</t>
  </si>
  <si>
    <t>Cota-Parte da Contribuição de Intervenção no Domínio Econômico</t>
  </si>
  <si>
    <t>1.7.2.8.01.5.0.00.00.00</t>
  </si>
  <si>
    <t>Outras Participações na Receita dos Estados</t>
  </si>
  <si>
    <t>1.7.2.8.01.9.0.00.00.00</t>
  </si>
  <si>
    <t>Outras Transferências dos Estados</t>
  </si>
  <si>
    <t>1.7.2.8.03.0.0.00.00.00</t>
  </si>
  <si>
    <t>Transferência de Recursos do Estado para Programas de Saúde – Repasse Fundo a Fundo</t>
  </si>
  <si>
    <t>1.7.2.8.10.0.0.00.00.00</t>
  </si>
  <si>
    <t>Transferência de Convênios dos Estados e do Distrito Federal e de Suas Entidades</t>
  </si>
  <si>
    <t>1.7.2.8.99.0.0.00.00.00</t>
  </si>
  <si>
    <t>1.7.3.0.00.0.0.00.00.00</t>
  </si>
  <si>
    <t>Transferências dos Municípios e de suas Entidades</t>
  </si>
  <si>
    <t>1.7.4.0.00.0.0.00.00.00</t>
  </si>
  <si>
    <t>Transferências de Instituições Privadas</t>
  </si>
  <si>
    <t>1.7.5.8.01.1.1.00.00.00</t>
  </si>
  <si>
    <t>Transferências de Recursos do FUNDEB - Principal</t>
  </si>
  <si>
    <t>1.7.6.0.00.0.0.00.00.00</t>
  </si>
  <si>
    <t>Transferências do Exterior</t>
  </si>
  <si>
    <t>1.7.7.0.00.0.0.00.00.00</t>
  </si>
  <si>
    <t>Transferências de Pessoas Físicas</t>
  </si>
  <si>
    <t>1.9.0.0.00.0.0.00.00.00</t>
  </si>
  <si>
    <t>Outras Receitas Correntes</t>
  </si>
  <si>
    <t>1.9.1.0.00.0.0.00.00.00</t>
  </si>
  <si>
    <t>Multas Administrativas, Contratuais e Judiciais</t>
  </si>
  <si>
    <t>1.9.2.0.00.0.0.00.00.00</t>
  </si>
  <si>
    <t>Indenizações, Restituições e Ressarcimentos</t>
  </si>
  <si>
    <t>1.9.2.2.01.2.0.00.00</t>
  </si>
  <si>
    <t>Restituição de Convênios -  Financeiras</t>
  </si>
  <si>
    <t>1.9.2.0.00.0.0.00.00</t>
  </si>
  <si>
    <t>Outras Indenizações, Restituições e Ressarcimentos</t>
  </si>
  <si>
    <t>1.9.9.0.00.0.0.00.00.00</t>
  </si>
  <si>
    <t>Demais Receitas Correntes</t>
  </si>
  <si>
    <t>1.9.9.0.06.0.0.00.00.00</t>
  </si>
  <si>
    <t>Contrapartida de Subvenções ou Subsídios</t>
  </si>
  <si>
    <t>1.9.9.0.1.1.1.0.00.00.00</t>
  </si>
  <si>
    <t>Variação Cambial</t>
  </si>
  <si>
    <t>1.9.9.0.12.0.0.00.00.00</t>
  </si>
  <si>
    <t>Encargos Legais pela Inscrição em Dívida Ativa e Receitas de Ônus de Sucumbência</t>
  </si>
  <si>
    <t>1.9.9.0.99.2.0.00.00.00</t>
  </si>
  <si>
    <t>Outras Receitas Financeiras</t>
  </si>
  <si>
    <t>1.9.9.0.99.0.0.00.00.00</t>
  </si>
  <si>
    <t>Outras Receitas (demais receitas diversas)</t>
  </si>
  <si>
    <t>2.0.0.0.00.0.0.00.00.00</t>
  </si>
  <si>
    <t>Receitas de Capital</t>
  </si>
  <si>
    <t>2.1.0.0.00.0.0.00.00.00</t>
  </si>
  <si>
    <t>Operações de Crédito</t>
  </si>
  <si>
    <t>2.2.0.0.00.0.0.00.00.00</t>
  </si>
  <si>
    <t>Alienação de Bens</t>
  </si>
  <si>
    <t xml:space="preserve">2.2.1.8.01.1.0.00.00.00 </t>
  </si>
  <si>
    <t>Alienação de Investimentos Temporários</t>
  </si>
  <si>
    <t>2.2.1.8.01.2.0.00.00.00</t>
  </si>
  <si>
    <t>Alienação de Investimenros Permanentes</t>
  </si>
  <si>
    <t>2.2.1.0.00.0.0.00.00.00</t>
  </si>
  <si>
    <t>Alienação de Bens Móveis</t>
  </si>
  <si>
    <t>2.2.2.0.00.0.0.00.00.00</t>
  </si>
  <si>
    <t>Alienação de Bens Imóveis</t>
  </si>
  <si>
    <t>2.3.0.0.00.0.0.00.00.00</t>
  </si>
  <si>
    <t>Amortização de Empréstimos</t>
  </si>
  <si>
    <t>2.4.0.0.00.0.0.00.00.00</t>
  </si>
  <si>
    <t>Transferências de Capital</t>
  </si>
  <si>
    <t>2.4.1.0.00.0.0.00.00.00</t>
  </si>
  <si>
    <t>2.4.2.0.00.0.0.00.00.00</t>
  </si>
  <si>
    <t>2.4.3.0.00.0.0.00.00.00</t>
  </si>
  <si>
    <t>2.4.4.0.00.0.0.00.00.00</t>
  </si>
  <si>
    <t>2.4.5.0.00.0.0.00.00.00</t>
  </si>
  <si>
    <t>Transferências de Outras Instituições Públicas</t>
  </si>
  <si>
    <t>2.4.6.0.00.0.0.00.00.00</t>
  </si>
  <si>
    <t>2.4.7.0.00.0.0.00.00.00</t>
  </si>
  <si>
    <t>2.9.0.0.00.0.0.00.00.00</t>
  </si>
  <si>
    <t>Outras Receitas de Capital</t>
  </si>
  <si>
    <t>2.9.9.0.00.1.1.01.00.00</t>
  </si>
  <si>
    <t>2.9.9.0.00.1.1.02.00.00</t>
  </si>
  <si>
    <t>Remuneracao de Depósitos Bancários - Principal</t>
  </si>
  <si>
    <t>7.0.0.0.00.0.0.00.00.00</t>
  </si>
  <si>
    <t>Receitas Correntes Intraorçamentárias</t>
  </si>
  <si>
    <r>
      <rPr>
        <sz val="10"/>
        <rFont val="Arial"/>
        <family val="2"/>
      </rPr>
      <t xml:space="preserve">Receitas Correntes Intraorçamentárias </t>
    </r>
    <r>
      <rPr>
        <b/>
        <sz val="10"/>
        <color indexed="10"/>
        <rFont val="Arial"/>
        <family val="2"/>
      </rPr>
      <t>- Primárias</t>
    </r>
  </si>
  <si>
    <r>
      <rPr>
        <sz val="10"/>
        <rFont val="Arial"/>
        <family val="2"/>
      </rPr>
      <t xml:space="preserve">Receitas Correntes Intraorçamentárias </t>
    </r>
    <r>
      <rPr>
        <b/>
        <sz val="10"/>
        <color indexed="10"/>
        <rFont val="Arial"/>
        <family val="2"/>
      </rPr>
      <t>- Financeiras / Não Primárias</t>
    </r>
  </si>
  <si>
    <t>8.0.0.0.00.0.0.00.00.00</t>
  </si>
  <si>
    <t>Receitas de Capital Intraorçamentárias</t>
  </si>
  <si>
    <r>
      <rPr>
        <sz val="10"/>
        <rFont val="Arial"/>
        <family val="2"/>
      </rPr>
      <t xml:space="preserve">Receitas de Capital Intraorçamentárias </t>
    </r>
    <r>
      <rPr>
        <b/>
        <sz val="10"/>
        <color indexed="10"/>
        <rFont val="Arial"/>
        <family val="2"/>
      </rPr>
      <t>- Primárias</t>
    </r>
  </si>
  <si>
    <r>
      <rPr>
        <sz val="10"/>
        <rFont val="Arial"/>
        <family val="2"/>
      </rPr>
      <t xml:space="preserve">Receitas de Capital Intraorçamentárias </t>
    </r>
    <r>
      <rPr>
        <b/>
        <sz val="10"/>
        <color indexed="10"/>
        <rFont val="Arial"/>
        <family val="2"/>
      </rPr>
      <t>- Financeiras / Não Primárias</t>
    </r>
  </si>
  <si>
    <t>9.0.0.0.0.00.0.0.00.00</t>
  </si>
  <si>
    <t>9.0.0.0.0.00.0.0</t>
  </si>
  <si>
    <r>
      <rPr>
        <b/>
        <sz val="10"/>
        <rFont val="Arial"/>
        <family val="2"/>
      </rPr>
      <t>( R ) Deduções da Receita</t>
    </r>
    <r>
      <rPr>
        <b/>
        <sz val="10"/>
        <color indexed="10"/>
        <rFont val="Arial"/>
        <family val="2"/>
      </rPr>
      <t xml:space="preserve"> - Digitar com sinal negativo</t>
    </r>
  </si>
  <si>
    <t>9.1.1.0.0.00.0.0.00.00</t>
  </si>
  <si>
    <t>9.1.1.0.0.00.0.0</t>
  </si>
  <si>
    <t>Deduções da Receita de Impostos, Taxas e Contribuições de Melhoria</t>
  </si>
  <si>
    <t>9.1.7.0.0.00.0.0.00.00</t>
  </si>
  <si>
    <t>9.1.7.0.0.00.0.0</t>
  </si>
  <si>
    <t>Deduções para o FUNDEB</t>
  </si>
  <si>
    <t>9.1.0.0.0.00.0.0.00.00</t>
  </si>
  <si>
    <t>9.1.0.0.0.00.0.0</t>
  </si>
  <si>
    <t>Demais Deduções da Receita Corrente</t>
  </si>
  <si>
    <t>9.2.0.0.0.00.0.0.00.00</t>
  </si>
  <si>
    <t>9.2.0.0.0.00.0.0</t>
  </si>
  <si>
    <r>
      <rPr>
        <sz val="10"/>
        <rFont val="Arial"/>
        <family val="2"/>
      </rPr>
      <t>Deduções da Receita de Capital</t>
    </r>
    <r>
      <rPr>
        <sz val="10"/>
        <color indexed="10"/>
        <rFont val="Arial"/>
        <family val="2"/>
      </rPr>
      <t xml:space="preserve"> </t>
    </r>
  </si>
  <si>
    <t>TOTAL DAS RECEITAS ARRECADADAS</t>
  </si>
  <si>
    <t>*No cálculo dos demais impostos o IPTU foi calculado em separado considerando a maior arrecadação nos meses de junho (cota única) e julho.</t>
  </si>
  <si>
    <t>*No cálculo de estimativa do recebimento do IPTU de agosto a dezembro, de 2023, foi utilizado como parâmetro o percentual recebido em 2022 no mesmo período (8,27%) em relação ao arrecadado de janeiro a julho de 2022.</t>
  </si>
  <si>
    <t>*No cálculo de estimativa do recebimento do taxa de coleta de lixo de agosto a dezembro, de 2023, foi utilizado como parâmetro o percentual recebido em 2022 no mesmo período (8,27%) em relação ao arrecadado de janeiro a julho de 2022.</t>
  </si>
  <si>
    <r>
      <rPr>
        <sz val="12"/>
        <color indexed="8"/>
        <rFont val="Arial"/>
        <family val="0"/>
      </rPr>
      <t>*No cálculo do FPM entregue no mês de dezembro foi considerado o valor recebido em 2022 e aplicado</t>
    </r>
    <r>
      <rPr>
        <b/>
        <sz val="12"/>
        <color indexed="8"/>
        <rFont val="Arial"/>
        <family val="0"/>
      </rPr>
      <t xml:space="preserve"> </t>
    </r>
    <r>
      <rPr>
        <sz val="12"/>
        <color indexed="8"/>
        <rFont val="Arial"/>
        <family val="0"/>
      </rPr>
      <t>8% de ajuste, esse foi o percentual de ajuste da cota recebida em julho de 2023 em relação à julho de 2022.</t>
    </r>
  </si>
  <si>
    <t>*No cálculo do FPM entregue no mês de julho foi considerado o valor já recebido em julho de 2023 acrescido do valor recebido em setembro de 2022 e foi aplicado o mesmo ajuste de 8%.</t>
  </si>
  <si>
    <t>*No cálculo da CIDE foi considerado o ingresso em 2023 acrescido do ingresso do mês de outubro de 2022.</t>
  </si>
  <si>
    <r>
      <rPr>
        <b/>
        <sz val="12"/>
        <rFont val="Arial"/>
        <family val="2"/>
      </rPr>
      <t>Memória de Cálculo das Estimativas de</t>
    </r>
    <r>
      <rPr>
        <b/>
        <sz val="12"/>
        <color indexed="10"/>
        <rFont val="Arial"/>
        <family val="2"/>
      </rPr>
      <t xml:space="preserve"> Pagamento das Despesas</t>
    </r>
    <r>
      <rPr>
        <b/>
        <sz val="12"/>
        <rFont val="Arial"/>
        <family val="2"/>
      </rPr>
      <t xml:space="preserve"> - Inclusive Restos a Pagar - </t>
    </r>
    <r>
      <rPr>
        <b/>
        <sz val="12"/>
        <color indexed="10"/>
        <rFont val="Arial"/>
        <family val="2"/>
      </rPr>
      <t>Exceto Despesas do RPPS</t>
    </r>
    <r>
      <rPr>
        <b/>
        <sz val="12"/>
        <rFont val="Arial"/>
        <family val="2"/>
      </rPr>
      <t xml:space="preserve"> </t>
    </r>
  </si>
  <si>
    <t>Código</t>
  </si>
  <si>
    <t>Descrição</t>
  </si>
  <si>
    <t>PAGA</t>
  </si>
  <si>
    <t>PAGA(Estim)</t>
  </si>
  <si>
    <t>3.0.00.00.00.00.00</t>
  </si>
  <si>
    <t>DESPESAS CORRENTES</t>
  </si>
  <si>
    <t>3.1.00.00.00.00.00</t>
  </si>
  <si>
    <t>PESSOAL E ENCARGOS SOCIAIS</t>
  </si>
  <si>
    <t>Pessoal  - Executivo / Indiretes</t>
  </si>
  <si>
    <t>Pessoal  - Legislativo</t>
  </si>
  <si>
    <r>
      <rPr>
        <sz val="12"/>
        <rFont val="Arial"/>
        <family val="2"/>
      </rPr>
      <t xml:space="preserve">Pessoal   - </t>
    </r>
    <r>
      <rPr>
        <b/>
        <sz val="12"/>
        <color indexed="10"/>
        <rFont val="Arial"/>
        <family val="2"/>
      </rPr>
      <t>Restos a Pagar Pagos</t>
    </r>
  </si>
  <si>
    <t>3.1.91.00.00.00.00</t>
  </si>
  <si>
    <r>
      <rPr>
        <sz val="12"/>
        <rFont val="Arial"/>
        <family val="2"/>
      </rPr>
      <t>Despesas Com Pessoal  -</t>
    </r>
    <r>
      <rPr>
        <b/>
        <sz val="12"/>
        <color indexed="10"/>
        <rFont val="Arial"/>
        <family val="2"/>
      </rPr>
      <t xml:space="preserve"> INTRAORÇAMENTÁRIAS</t>
    </r>
  </si>
  <si>
    <t>3.2.00.00.00.00.00</t>
  </si>
  <si>
    <t>JUROS E ENCARGOS DA DÍVIDA</t>
  </si>
  <si>
    <t>Juros e Encargos da Dívida - Executiv / Indiretas</t>
  </si>
  <si>
    <t>Juros e Encargos da Dívida - Legislativo</t>
  </si>
  <si>
    <r>
      <rPr>
        <sz val="12"/>
        <rFont val="Arial"/>
        <family val="2"/>
      </rPr>
      <t xml:space="preserve">Juros e encargos da Dívida - </t>
    </r>
    <r>
      <rPr>
        <b/>
        <sz val="12"/>
        <color indexed="10"/>
        <rFont val="Arial"/>
        <family val="2"/>
      </rPr>
      <t xml:space="preserve">Restos a Pagar Pagos </t>
    </r>
  </si>
  <si>
    <t>3.2.91.00.00.00.00</t>
  </si>
  <si>
    <r>
      <rPr>
        <sz val="12"/>
        <rFont val="Arial"/>
        <family val="2"/>
      </rPr>
      <t xml:space="preserve">Juros e encargos da Dívida - </t>
    </r>
    <r>
      <rPr>
        <b/>
        <sz val="12"/>
        <color indexed="10"/>
        <rFont val="Arial"/>
        <family val="2"/>
      </rPr>
      <t>INTRAORÇAMENTÁRIAS</t>
    </r>
  </si>
  <si>
    <t>3.3.00.00.00.00.00</t>
  </si>
  <si>
    <t>OUTRAS DESPESAS CORRENTES</t>
  </si>
  <si>
    <t>Outras Despesas Correntes - Executivo</t>
  </si>
  <si>
    <t>Outras Despesas Correntes - Legislativo</t>
  </si>
  <si>
    <r>
      <rPr>
        <sz val="12"/>
        <rFont val="Arial"/>
        <family val="2"/>
      </rPr>
      <t>Outras Despesas Correntes  -</t>
    </r>
    <r>
      <rPr>
        <b/>
        <sz val="12"/>
        <color indexed="10"/>
        <rFont val="Arial"/>
        <family val="2"/>
      </rPr>
      <t xml:space="preserve"> Restos a Pagar Pagos</t>
    </r>
  </si>
  <si>
    <t>3.3.91.00.00.00.00</t>
  </si>
  <si>
    <r>
      <rPr>
        <sz val="12"/>
        <rFont val="Arial"/>
        <family val="2"/>
      </rPr>
      <t xml:space="preserve">Outras Despesas Correntes - </t>
    </r>
    <r>
      <rPr>
        <b/>
        <sz val="12"/>
        <color indexed="10"/>
        <rFont val="Arial"/>
        <family val="2"/>
      </rPr>
      <t>INTRAORÇAMENTÁRIAS</t>
    </r>
  </si>
  <si>
    <t>4.0.00.00.00.00.00</t>
  </si>
  <si>
    <t>DESPESAS DE CAPITAL</t>
  </si>
  <si>
    <t>4.4.00.00.00.00.00</t>
  </si>
  <si>
    <t>INVESTIMENTOS</t>
  </si>
  <si>
    <t>Investimentos - Executvi / Indiretas</t>
  </si>
  <si>
    <t>Investimentos - Legislativo</t>
  </si>
  <si>
    <t>4.4.91.00.00.00.00</t>
  </si>
  <si>
    <r>
      <rPr>
        <sz val="12"/>
        <rFont val="Arial"/>
        <family val="2"/>
      </rPr>
      <t xml:space="preserve">Investimentos  - </t>
    </r>
    <r>
      <rPr>
        <b/>
        <sz val="12"/>
        <color indexed="10"/>
        <rFont val="Arial"/>
        <family val="2"/>
      </rPr>
      <t>Restos a Pagar Pagos</t>
    </r>
  </si>
  <si>
    <r>
      <rPr>
        <sz val="12"/>
        <rFont val="Arial"/>
        <family val="2"/>
      </rPr>
      <t xml:space="preserve">Investimentos  - </t>
    </r>
    <r>
      <rPr>
        <b/>
        <sz val="12"/>
        <color indexed="10"/>
        <rFont val="Arial"/>
        <family val="2"/>
      </rPr>
      <t>INTRAORÇAMENTÁRIAS</t>
    </r>
  </si>
  <si>
    <t>4.5.00.00.00.00.00</t>
  </si>
  <si>
    <t>INVERSÕES FINANCEIRAS</t>
  </si>
  <si>
    <t>4.5.90.66.00.00.00</t>
  </si>
  <si>
    <t>Concessão de Empréstimos e Financiamentos</t>
  </si>
  <si>
    <t xml:space="preserve">4.5.90.99.00.00.00 </t>
  </si>
  <si>
    <t>Outras Inversões Financeiras - Executvi / Indiretas</t>
  </si>
  <si>
    <t>Outras Inversões Financeiras - Legislativo</t>
  </si>
  <si>
    <r>
      <rPr>
        <sz val="12"/>
        <rFont val="Arial"/>
        <family val="2"/>
      </rPr>
      <t xml:space="preserve">Outras Inversões Financeiras - </t>
    </r>
    <r>
      <rPr>
        <b/>
        <sz val="12"/>
        <color indexed="10"/>
        <rFont val="Arial"/>
        <family val="2"/>
      </rPr>
      <t>Restos a a  Pagar Pagos</t>
    </r>
  </si>
  <si>
    <t xml:space="preserve">4.5.91.00.00.00.00 </t>
  </si>
  <si>
    <r>
      <rPr>
        <sz val="12"/>
        <rFont val="Arial"/>
        <family val="2"/>
      </rPr>
      <t xml:space="preserve">Inversões Financeiras - </t>
    </r>
    <r>
      <rPr>
        <b/>
        <sz val="12"/>
        <color indexed="10"/>
        <rFont val="Arial"/>
        <family val="2"/>
      </rPr>
      <t>INTRAORÇAMENTÁRIAS</t>
    </r>
  </si>
  <si>
    <t>4.6.00.00.00.00.00</t>
  </si>
  <si>
    <t>AMORTIZAÇÃO DA DÍVIDA PÚBLICA</t>
  </si>
  <si>
    <t>Amortização da Dívida  - Executivo / Indiretas</t>
  </si>
  <si>
    <t>Amortização da Dívida  - Legislativo</t>
  </si>
  <si>
    <r>
      <rPr>
        <sz val="12"/>
        <rFont val="Arial"/>
        <family val="2"/>
      </rPr>
      <t xml:space="preserve">Amortização da Dívida  - </t>
    </r>
    <r>
      <rPr>
        <b/>
        <sz val="12"/>
        <color indexed="10"/>
        <rFont val="Arial"/>
        <family val="2"/>
      </rPr>
      <t>Restos a Pagar Pagos</t>
    </r>
  </si>
  <si>
    <t>4.6.91.00.00.00.00</t>
  </si>
  <si>
    <r>
      <rPr>
        <sz val="12"/>
        <rFont val="Arial"/>
        <family val="2"/>
      </rPr>
      <t xml:space="preserve">Amortização da Dívida  - </t>
    </r>
    <r>
      <rPr>
        <b/>
        <sz val="12"/>
        <color indexed="10"/>
        <rFont val="Arial"/>
        <family val="2"/>
      </rPr>
      <t>INTRAORÇAMENTÁRIAS</t>
    </r>
  </si>
  <si>
    <t xml:space="preserve">TOTAL DAS DESPESAS CONSIDERADAS </t>
  </si>
  <si>
    <t>Operação de Crédito Externo</t>
  </si>
  <si>
    <t xml:space="preserve">RESULTADOS </t>
  </si>
  <si>
    <t>REALIZADO</t>
  </si>
  <si>
    <t>FISCAIS</t>
  </si>
  <si>
    <t>1. RECEITA CORRENTE LÍQUIDA</t>
  </si>
  <si>
    <t>2. RECEITAS DE TRIBUTOS</t>
  </si>
  <si>
    <t>3. RECEITAS FINANCEIRAS</t>
  </si>
  <si>
    <t>4. RENÚNCIA FISCAL</t>
  </si>
  <si>
    <t>5. VALOR LÍQUIDO DO FUNDEF</t>
  </si>
  <si>
    <t>6. TRANSFERÊNCIAS DA UNIÃO</t>
  </si>
  <si>
    <t>7. TRANSFERÊNCIAS DOS ESTADOS</t>
  </si>
  <si>
    <t>8. OPERAÇÕES DE CRÉDITO</t>
  </si>
  <si>
    <t>9. AROS</t>
  </si>
  <si>
    <t>10. PESSOAL ATIVO</t>
  </si>
  <si>
    <t>11. PESSOAL INATIVO</t>
  </si>
  <si>
    <t>12. PENSIONISTAS</t>
  </si>
  <si>
    <t>13. SERVIÇOS DE TERCEIROS</t>
  </si>
  <si>
    <t>14. OUTROS CUSTEIOS CORRENTES</t>
  </si>
  <si>
    <t>15. INVESTIMENTOS</t>
  </si>
  <si>
    <t>16. ENCARGOS DA DÍVIDA</t>
  </si>
  <si>
    <t>17. AMORTIZAÇÕES DA DÍVIDA</t>
  </si>
  <si>
    <t>18. DESPESAS FINANCEIRAS</t>
  </si>
  <si>
    <t>19. RESULTADO PRIMÁRIO</t>
  </si>
  <si>
    <t>20. RESULTADO NOMINAL</t>
  </si>
  <si>
    <t xml:space="preserve">NOTA: Conforme consta na página 73 da 13ª Edição do Manual dos Demonstrativos Fiscais, não se aplica, para fins de estimativas de metas fiscais da LDO a necessidade de equilíbrio entre receitas e despesas exigido para a Lei Orçamentária Anual. </t>
  </si>
  <si>
    <t>* Para preenchimento da estimativa das receitas foi utilizado o relatório balancete da receita e receitas/ execução mensal.</t>
  </si>
  <si>
    <t>* Para preenchimento da estimativa das despesas foram utilizados o anexo II da 4.320 (resumo da despesa) e empenhos/ restos/pagamentos e cancelamentos por categoria.</t>
  </si>
  <si>
    <r>
      <rPr>
        <b/>
        <sz val="12"/>
        <color indexed="10"/>
        <rFont val="Arial"/>
        <family val="2"/>
      </rPr>
      <t xml:space="preserve">Tabela 02 </t>
    </r>
    <r>
      <rPr>
        <b/>
        <sz val="12"/>
        <rFont val="Arial"/>
        <family val="2"/>
      </rPr>
      <t xml:space="preserve">- Memória de Cálculo das Estimativas das </t>
    </r>
    <r>
      <rPr>
        <b/>
        <sz val="12"/>
        <color indexed="10"/>
        <rFont val="Arial"/>
        <family val="2"/>
      </rPr>
      <t>Receitas específicas do RPPS</t>
    </r>
  </si>
  <si>
    <t>1.2.1.8.01.0.0.00.00.00</t>
  </si>
  <si>
    <t>Contribuição para o Regime Próprio de Previdência Social - RPPS (dos servidores)</t>
  </si>
  <si>
    <t>1.3.2.1.00.4.0.00.00.00</t>
  </si>
  <si>
    <t xml:space="preserve">Remuneração dos Recursos do Regime Próprio de Previdência Social - RPPS </t>
  </si>
  <si>
    <t>Cessão de Direitos /  Venda da Folha dos Aposentados e Pensionistas</t>
  </si>
  <si>
    <t>Demais Receitas Patrimoniais do RPPS</t>
  </si>
  <si>
    <t>Multas Administrativas, Contratuais e Judiciais recebidas pelo RPPS</t>
  </si>
  <si>
    <t>1.9.9.0.03.0.0.00.00.00</t>
  </si>
  <si>
    <t>Compensações Financeiras entre o Regime Geral e os Regimes Próprios de Previdência dos Servidores</t>
  </si>
  <si>
    <t>Outras Receitas (demais receitas diversas do RPPS)</t>
  </si>
  <si>
    <t>Outras Receitas Diretamente Arrecadadas pelo RPPS - Principal</t>
  </si>
  <si>
    <t xml:space="preserve">Receitas Correntes Intraorçamentárias </t>
  </si>
  <si>
    <r>
      <rPr>
        <sz val="10"/>
        <rFont val="Arial"/>
        <family val="2"/>
      </rPr>
      <t xml:space="preserve">Receitas Correntes Intraorçamentárias </t>
    </r>
    <r>
      <rPr>
        <b/>
        <sz val="10"/>
        <color indexed="10"/>
        <rFont val="Arial"/>
        <family val="2"/>
      </rPr>
      <t>- Financeiras/Não Primárias</t>
    </r>
  </si>
  <si>
    <r>
      <rPr>
        <sz val="10"/>
        <rFont val="Arial"/>
        <family val="2"/>
      </rPr>
      <t xml:space="preserve">Receitas de Capital Intraorçamentárias </t>
    </r>
    <r>
      <rPr>
        <b/>
        <sz val="10"/>
        <color indexed="10"/>
        <rFont val="Arial"/>
        <family val="2"/>
      </rPr>
      <t>- Financeiras/Não Primárias</t>
    </r>
  </si>
  <si>
    <r>
      <rPr>
        <b/>
        <sz val="10"/>
        <rFont val="Arial"/>
        <family val="2"/>
      </rPr>
      <t>( R ) Deduções da Receita</t>
    </r>
    <r>
      <rPr>
        <b/>
        <sz val="10"/>
        <color indexed="10"/>
        <rFont val="Arial"/>
        <family val="2"/>
      </rPr>
      <t xml:space="preserve">  -  Digitar com Sinal Negativo</t>
    </r>
  </si>
  <si>
    <t>9.1.3.2.1.00.0.0.00.00</t>
  </si>
  <si>
    <t>9.1.3.2.1.00.0.0</t>
  </si>
  <si>
    <t>Deduções da Receita de Rendimentos de Aplicações do RPPS</t>
  </si>
  <si>
    <t>Demais Dedu.da Receita Corrente do RPPS</t>
  </si>
  <si>
    <r>
      <rPr>
        <sz val="10"/>
        <rFont val="Arial"/>
        <family val="2"/>
      </rPr>
      <t>Demais Deduções da Receita de Capital</t>
    </r>
    <r>
      <rPr>
        <sz val="10"/>
        <color indexed="10"/>
        <rFont val="Arial"/>
        <family val="2"/>
      </rPr>
      <t xml:space="preserve"> </t>
    </r>
  </si>
  <si>
    <t>TOTAL DAS RECEITAS ARRECADADAS PELO RPPS</t>
  </si>
  <si>
    <r>
      <rPr>
        <b/>
        <sz val="12"/>
        <rFont val="Arial"/>
        <family val="2"/>
      </rPr>
      <t>Memória de Cálculo das Estimativas de</t>
    </r>
    <r>
      <rPr>
        <b/>
        <sz val="12"/>
        <color indexed="10"/>
        <rFont val="Arial"/>
        <family val="2"/>
      </rPr>
      <t xml:space="preserve"> Pagamento das Despesas</t>
    </r>
    <r>
      <rPr>
        <b/>
        <sz val="12"/>
        <rFont val="Arial"/>
        <family val="2"/>
      </rPr>
      <t xml:space="preserve"> - do RPPS</t>
    </r>
  </si>
  <si>
    <t xml:space="preserve">Pessoal  do  R P P S </t>
  </si>
  <si>
    <t xml:space="preserve">Juros e encargos da Dívida RPPS </t>
  </si>
  <si>
    <t>Outras Despesas Correntes  RPPS</t>
  </si>
  <si>
    <t xml:space="preserve">Investimentos  RPPS </t>
  </si>
  <si>
    <t>Outras Inversões Financeiras - RPPS</t>
  </si>
  <si>
    <t>Amortização da Dívida  - RPPS</t>
  </si>
  <si>
    <r>
      <rPr>
        <b/>
        <sz val="10"/>
        <color indexed="10"/>
        <rFont val="Arial"/>
        <family val="2"/>
      </rPr>
      <t>Tabela 03 -</t>
    </r>
    <r>
      <rPr>
        <b/>
        <sz val="10"/>
        <color indexed="8"/>
        <rFont val="Arial"/>
        <family val="2"/>
      </rPr>
      <t xml:space="preserve"> Estimativas para a Receita Corrente Líquida</t>
    </r>
  </si>
  <si>
    <t>Apuração Conforme a Instrução Normativa nº 18/2021, do TCE/RS</t>
  </si>
  <si>
    <t>ESPECIFICAÇÃO</t>
  </si>
  <si>
    <t>I - RECEITAS CORRENTES (Exceto Intraorçamentárias e recursos do RPPS)</t>
  </si>
  <si>
    <t>II - DEDUÇÕES</t>
  </si>
  <si>
    <t xml:space="preserve">Deduções da Receita Corrente </t>
  </si>
  <si>
    <t>Outras deduções</t>
  </si>
  <si>
    <t>IV - RECEITA CORRENTE LÍQUIDA PREVISTA (I-II+III)</t>
  </si>
  <si>
    <t xml:space="preserve">  (-)  Recursos de Emendas Parlamentares Individuais (código de natureza  1.7.1.0.00.00.00 com complemento de vínculo 3110)</t>
  </si>
  <si>
    <t>V - Receita Corrente Líquida para Fins de Endividamento</t>
  </si>
  <si>
    <t xml:space="preserve">  (-)  Recursos de Emendas Parlamentares de Bancada (código de natureza  1.7.1.0.00.00.00 com complemento de vínculo 3120)</t>
  </si>
  <si>
    <t>VI - Receita Corrente Líquida p/Despesas com Pessoal</t>
  </si>
  <si>
    <r>
      <rPr>
        <b/>
        <sz val="11"/>
        <color indexed="10"/>
        <rFont val="Arial"/>
        <family val="2"/>
      </rPr>
      <t>Tabela 04 -</t>
    </r>
    <r>
      <rPr>
        <b/>
        <sz val="11"/>
        <color indexed="8"/>
        <rFont val="Arial"/>
        <family val="2"/>
      </rPr>
      <t xml:space="preserve"> Estimativa de Limites de Gastos com Pessoal do Poder Executivo e Legislativo para o período de 2024 a 2026</t>
    </r>
  </si>
  <si>
    <t>PODER EXECUTIVO</t>
  </si>
  <si>
    <t>Limite Máximo Legal   -  54 % da  RCL (alínea “b” do inciso III do artigo 20 da LRF)</t>
  </si>
  <si>
    <t>Limite Prudencial - 51,30 % da RCL (parágrafo único do artigo 22 daLRF)</t>
  </si>
  <si>
    <t>Limite de Alerta - 48,60 % da RCL (inciso II do § 1º do artigo 59 da LRF)</t>
  </si>
  <si>
    <t xml:space="preserve">PODER LEGISLATIVO </t>
  </si>
  <si>
    <t>Limite Máximo Legal   -  6 % da  RCL (alínea “b” do inciso III do artigo 20 da LRF)</t>
  </si>
  <si>
    <t>Limite Prudencial - 5,70 % da RCL (parágrafo único do artigo 22 daLRF)</t>
  </si>
  <si>
    <t>Limite de Alerta -  5,40 % da RCL (inciso II do § 1º do artigo 59 da LRF)</t>
  </si>
  <si>
    <r>
      <rPr>
        <b/>
        <sz val="16"/>
        <color indexed="10"/>
        <rFont val="Times New Roman"/>
        <family val="1"/>
      </rPr>
      <t xml:space="preserve">TABELA 05 </t>
    </r>
    <r>
      <rPr>
        <b/>
        <sz val="16"/>
        <rFont val="Times New Roman"/>
        <family val="1"/>
      </rPr>
      <t xml:space="preserve">- Demonstrativo da Evolução da Dívida Consolidada Líquida </t>
    </r>
  </si>
  <si>
    <t>Exercício</t>
  </si>
  <si>
    <t>Saldo</t>
  </si>
  <si>
    <t>Reestimativa</t>
  </si>
  <si>
    <t>Previsão (Saldo Médio)</t>
  </si>
  <si>
    <t xml:space="preserve"> DÍVIDA CONSOLIDADA (I)</t>
  </si>
  <si>
    <t xml:space="preserve">    Dívida Mobiliária</t>
  </si>
  <si>
    <t xml:space="preserve">    Dívida Contratual (inclusive parcelamentos)</t>
  </si>
  <si>
    <t xml:space="preserve">    Precatórios posteriores a 05-05-2000</t>
  </si>
  <si>
    <t>DISPONIBILIDADES DE CAIXA (II)</t>
  </si>
  <si>
    <t xml:space="preserve">   Disponibilidade da Caixa Bruta - Excet RPPS</t>
  </si>
  <si>
    <t xml:space="preserve">   (-) Restos a Pagar Processados - Excto restos do RPPS</t>
  </si>
  <si>
    <t xml:space="preserve">   (-) Depósitos Restituíveis e Valores Vinculados</t>
  </si>
  <si>
    <t xml:space="preserve">   Demais Haveres Financeiros - Exceto RPPS</t>
  </si>
  <si>
    <t>DIVIDA CONSOLIDADA LÍQUIDA (III = I - II)</t>
  </si>
  <si>
    <t>Previsão de comprometimento da RCL com a Dívida Consolidada Líquida</t>
  </si>
  <si>
    <t>Cronograma Anual de Operações de Crédito e  de Amortização e Serviço da Dívida</t>
  </si>
  <si>
    <t>Valores em R$</t>
  </si>
  <si>
    <t xml:space="preserve">Operações de Crédito / Pagamentos </t>
  </si>
  <si>
    <t>Realizado</t>
  </si>
  <si>
    <t>Previsão</t>
  </si>
  <si>
    <t>2.1 - Operações de Crédito</t>
  </si>
  <si>
    <t>2.2 Encargos - Exceto RPPS</t>
  </si>
  <si>
    <t>2.3 Amortizações - Exceto RPPS</t>
  </si>
  <si>
    <t xml:space="preserve"> 2.2.3 Dívida Mobiliária</t>
  </si>
  <si>
    <t>Fonte: RGF, Anexo II, gerado pelo sistema contábil do município Ivoti em 28/08/2023 às 13:52:01</t>
  </si>
  <si>
    <r>
      <rPr>
        <sz val="11"/>
        <rFont val="Arial"/>
        <family val="2"/>
      </rPr>
      <t>*A Posição da Dívida Consolidada de 2022 foi retirada do</t>
    </r>
    <r>
      <rPr>
        <b/>
        <sz val="11"/>
        <rFont val="Arial"/>
        <family val="2"/>
      </rPr>
      <t xml:space="preserve"> relatório de metas fiscais </t>
    </r>
    <r>
      <rPr>
        <sz val="11"/>
        <rFont val="Calibri"/>
        <family val="2"/>
      </rPr>
      <t>apresentado em audiência pública na câmara de vereadores, conforme exigência da LRF art.9°, §4°,  considerando o relatório RREO anexo 6, Demostrativo dos Resultados Primário e Nominal, gerado pelo sistema contábil do município de Ivoti em 06/02/2023 às 13:18:44</t>
    </r>
    <r>
      <rPr>
        <sz val="11"/>
        <rFont val="Arial"/>
        <family val="2"/>
      </rPr>
      <t xml:space="preserve"> </t>
    </r>
  </si>
  <si>
    <t>*Posição da Dívida Consolidada 2023 até a data de 29/08/2023.</t>
  </si>
  <si>
    <t>LEI DE DIRETRIZES ORÇAMENTÁRIAS</t>
  </si>
  <si>
    <t>ANEXO DE  METAS FISCAIS</t>
  </si>
  <si>
    <t>METAS ANUAIS</t>
  </si>
  <si>
    <t>AMF - Demonstrativo 1 (LRF, art. 4º, § 1º)</t>
  </si>
  <si>
    <t>Valor</t>
  </si>
  <si>
    <t>% PIB</t>
  </si>
  <si>
    <t>% RCL</t>
  </si>
  <si>
    <t>Corrente</t>
  </si>
  <si>
    <t>Constante</t>
  </si>
  <si>
    <t>(a / PIB)</t>
  </si>
  <si>
    <t>(a / RCL)</t>
  </si>
  <si>
    <t>(b / PIB)</t>
  </si>
  <si>
    <t>(b / RCL)</t>
  </si>
  <si>
    <t>(c / PIB)</t>
  </si>
  <si>
    <t>(c / RCL)</t>
  </si>
  <si>
    <t>(a)</t>
  </si>
  <si>
    <t>x 100</t>
  </si>
  <si>
    <t>(b)</t>
  </si>
  <si>
    <t>(c)</t>
  </si>
  <si>
    <r>
      <rPr>
        <b/>
        <sz val="10"/>
        <rFont val="Calibri"/>
        <family val="2"/>
      </rPr>
      <t xml:space="preserve"> Receita Total </t>
    </r>
    <r>
      <rPr>
        <b/>
        <sz val="10"/>
        <color indexed="10"/>
        <rFont val="Calibri"/>
        <family val="2"/>
      </rPr>
      <t>(arrecadação)</t>
    </r>
  </si>
  <si>
    <t>Preenchimento Opcional Cfe. Item 02.01.03.01 da 13ª Edição do MDF</t>
  </si>
  <si>
    <t xml:space="preserve"> Receitas Primárias (I)</t>
  </si>
  <si>
    <t xml:space="preserve"> Receitas Primárias Correntes</t>
  </si>
  <si>
    <t xml:space="preserve"> Impostos, Taxas e Contribuições de Melhoria</t>
  </si>
  <si>
    <t xml:space="preserve"> Transferências Correntes</t>
  </si>
  <si>
    <t xml:space="preserve"> Demais Receitas Primárias Correntes</t>
  </si>
  <si>
    <t xml:space="preserve"> Receitas Primárias de Capital</t>
  </si>
  <si>
    <r>
      <rPr>
        <b/>
        <sz val="10"/>
        <rFont val="Calibri"/>
        <family val="2"/>
      </rPr>
      <t xml:space="preserve"> Despesa Total </t>
    </r>
    <r>
      <rPr>
        <b/>
        <sz val="10"/>
        <color indexed="10"/>
        <rFont val="Calibri"/>
        <family val="2"/>
      </rPr>
      <t xml:space="preserve"> (pagamento)</t>
    </r>
  </si>
  <si>
    <t xml:space="preserve"> Despesas Primárias (II)</t>
  </si>
  <si>
    <t xml:space="preserve"> Despesas Primárias Correntes</t>
  </si>
  <si>
    <t xml:space="preserve"> Pessoal e Encargos Sociais</t>
  </si>
  <si>
    <t xml:space="preserve"> Outras Despesas Correntes</t>
  </si>
  <si>
    <t xml:space="preserve"> Despesas Primárias de Capital </t>
  </si>
  <si>
    <t xml:space="preserve"> Pagamento de Restos a Pagar de Despesas Primárias</t>
  </si>
  <si>
    <t xml:space="preserve"> Resultado Primário (SEM RPPS) - Acima da Linha (III) = (I – II)</t>
  </si>
  <si>
    <t xml:space="preserve"> Dívida Pública Consolidada (DC)</t>
  </si>
  <si>
    <t xml:space="preserve"> Dívida Consolidada Líquida (DCL)</t>
  </si>
  <si>
    <t xml:space="preserve"> Resultado Nominal (SEM RPPS) - Abaixo da linha</t>
  </si>
  <si>
    <t>FONTE: Parâmetros, Projeções e Tabelas 3.</t>
  </si>
  <si>
    <r>
      <rPr>
        <b/>
        <sz val="10"/>
        <rFont val="Calibri"/>
        <family val="2"/>
      </rPr>
      <t xml:space="preserve">NOTA 1 </t>
    </r>
    <r>
      <rPr>
        <sz val="10"/>
        <rFont val="Calibri"/>
        <family val="2"/>
      </rPr>
      <t>: A elaboração desse demonstrativo seguiu a metodologia de cálculo disposta no item 03.06.00 - Anexo 6 da Parte III do MDF. Portanto, não foram consideradas as receitas e despesas com as fontes do RPPS no cálculo do Resultado Primário acima da linha. Também não devem ser consideradas as dívidas, disponibilidade de caixa e haveres financeiros do RPPS no cálculo do Resultado Primário abaixo da linha.</t>
    </r>
  </si>
  <si>
    <r>
      <rPr>
        <b/>
        <sz val="10"/>
        <rFont val="Calibri"/>
        <family val="2"/>
      </rPr>
      <t>NOTA 2</t>
    </r>
    <r>
      <rPr>
        <sz val="10"/>
        <rFont val="Calibri"/>
        <family val="2"/>
      </rPr>
      <t xml:space="preserve">: Conforme consta na página 73 da 13ª Edição do Manual dos Demonstrativos Fiscais, </t>
    </r>
    <r>
      <rPr>
        <b/>
        <sz val="10"/>
        <rFont val="Calibri"/>
        <family val="2"/>
      </rPr>
      <t xml:space="preserve">não se aplica nesse demonstrativo a necessidade de equilíbrio entre receitas e despesas exigido para a Lei Orçamentária Anual. </t>
    </r>
  </si>
  <si>
    <r>
      <rPr>
        <b/>
        <sz val="10"/>
        <rFont val="Calibri"/>
        <family val="2"/>
      </rPr>
      <t>Nota 3</t>
    </r>
    <r>
      <rPr>
        <sz val="10"/>
        <rFont val="Calibri"/>
        <family val="2"/>
      </rPr>
      <t>: Foi considerada a projeção da Receita Corrente Líquida ajustada para cálculo dos limites de endividamento, ou seja, após a exclusão dos valores de transferências obrigatórias da União relativas às emendas individuais, conforme disciplina o § 1º, art. 166-A da CF.</t>
    </r>
  </si>
  <si>
    <r>
      <rPr>
        <sz val="10"/>
        <rFont val="Calibri"/>
        <family val="2"/>
      </rPr>
      <t xml:space="preserve">METAS ANUAIS - </t>
    </r>
    <r>
      <rPr>
        <b/>
        <sz val="10"/>
        <rFont val="Calibri"/>
        <family val="2"/>
      </rPr>
      <t>RECEITAS E DESPESAS ESPECÍFICAS DO RPPS</t>
    </r>
  </si>
  <si>
    <t xml:space="preserve"> Receita Total - RPPS</t>
  </si>
  <si>
    <t xml:space="preserve"> Receitas Primárias do RPPS (I)</t>
  </si>
  <si>
    <t xml:space="preserve"> Despesa Total - RPPS</t>
  </si>
  <si>
    <t xml:space="preserve"> Despesas Primárias do RPPS (II)</t>
  </si>
  <si>
    <t xml:space="preserve"> Resultado Primário (DO RPPS) - Acima da Linha (III) = (I – II)</t>
  </si>
  <si>
    <t>FONTE: Planilha Projeções</t>
  </si>
  <si>
    <r>
      <rPr>
        <b/>
        <sz val="10"/>
        <rFont val="Calibri"/>
        <family val="2"/>
      </rPr>
      <t>Nota 1</t>
    </r>
    <r>
      <rPr>
        <sz val="10"/>
        <rFont val="Calibri"/>
        <family val="2"/>
      </rPr>
      <t xml:space="preserve">: este demonstrativo foi elaborado pelo Poder Executivo Municipal para fins de dar maior transparência à meta de Resultado Primário, possibilitando o acompanhamento individualizado do resultado primário do Tesouro Municipal e do  Regime Próprio de Previdência, bem como auxiliar na avaliação do cumprimento das metas fiscais. A metodologia e os conceitos são idênticos aos utilizados para a elaboração do anexo de metas fiscais.
</t>
    </r>
  </si>
  <si>
    <r>
      <rPr>
        <b/>
        <sz val="10"/>
        <rFont val="Calibri"/>
        <family val="2"/>
      </rPr>
      <t>Nota 2</t>
    </r>
    <r>
      <rPr>
        <sz val="10"/>
        <rFont val="Calibri"/>
        <family val="2"/>
      </rPr>
      <t xml:space="preserve">: Conforme consta na página 73 da 13ª Edição do Manual dos Demonstrativos Fiscais, </t>
    </r>
    <r>
      <rPr>
        <b/>
        <sz val="10"/>
        <rFont val="Calibri"/>
        <family val="2"/>
      </rPr>
      <t xml:space="preserve">não se aplica nesse demonstrativo a necessidade de equilíbrio entre receitas e despesas exigido para a Lei Orçamentária Anual. </t>
    </r>
  </si>
  <si>
    <r>
      <rPr>
        <b/>
        <sz val="10"/>
        <rFont val="Calibri"/>
        <family val="2"/>
      </rPr>
      <t>Nota 3</t>
    </r>
    <r>
      <rPr>
        <sz val="10"/>
        <rFont val="Calibri"/>
        <family val="2"/>
      </rPr>
      <t>: foi considerada a projeção da Receita Corrente Líquida ajustada para cálculo dos limites de endividamento, ou seja, após a exclusão dos valores de transferências obrigatórias da União relativas às emendas individuais, conforme disciplina o § 1º, art. 166-A da CF.</t>
    </r>
  </si>
  <si>
    <t xml:space="preserve">AVALIAÇÃO DO CUMPRIMENTO DAS METAS FISCAIS DO EXERCÍCIO ANTERIOR                            </t>
  </si>
  <si>
    <t>AMF - Demonstrativo 2 (LRF, art. 4º, §2º, inciso I)</t>
  </si>
  <si>
    <t>Metas Previstas em 2022</t>
  </si>
  <si>
    <t>Metas Realizadas em 2022</t>
  </si>
  <si>
    <t>Variação</t>
  </si>
  <si>
    <t>%</t>
  </si>
  <si>
    <t>(c) = (b-a)</t>
  </si>
  <si>
    <t>(c/a) x 100</t>
  </si>
  <si>
    <t>Receita Total  (Arrecadação)</t>
  </si>
  <si>
    <t>Preenchimento opcional cfe. Item 02.01.03.01 da 13ª edição do MDF</t>
  </si>
  <si>
    <t>Receitas Primárias (I)</t>
  </si>
  <si>
    <t>Despesa Total (Pagamentos)</t>
  </si>
  <si>
    <t>Despesas Primárias (II)</t>
  </si>
  <si>
    <t>Resultado Primário  - Acima da Linha (III) = (I – II)</t>
  </si>
  <si>
    <t>Dívida Pública Consolidada (DC)</t>
  </si>
  <si>
    <t>Dívida Consolidada Líquida (DCL)</t>
  </si>
  <si>
    <t>Resultado Nominal  - Acima da Linha</t>
  </si>
  <si>
    <t>FONTE: Para as metas previstas em 2022 foram utilizadas as Metas anuais da LDO 2022.</t>
  </si>
  <si>
    <t>* Para as metas realizadas em 2022 foram consideradas as metas fiscais apresentas em audiência pública na câmara de vereadores, conforme exigência da LRF art.9°, §4°,  considerando o relatório RREO anexo 6, Demostrativo dos Resultados Primário e Nominal, gerado pelo sistema contábil do município de Ivoti em 06/02/2023 às 13:18:44</t>
  </si>
  <si>
    <t>* A elaboração desse demonstrativo seguiu a metodologia de cálculo considerada no período, a qual considerava as receitas de contribuição e despesas do RPPS, porém deduzia as aplicações financeiras do mesmo no cálculo acima da linha.</t>
  </si>
  <si>
    <t>Parâmetros</t>
  </si>
  <si>
    <t>Valor Previsto 2022</t>
  </si>
  <si>
    <t>Valor Realizado 2022</t>
  </si>
  <si>
    <t>PIB nominal</t>
  </si>
  <si>
    <t>Receita Corrente Líquida - RCL</t>
  </si>
  <si>
    <t>*RCL 2022, RREO Anexo 3.</t>
  </si>
  <si>
    <t>ANEXO DE METAS FISCAIS</t>
  </si>
  <si>
    <t>METAS FISCAIS ATUAIS COMPARADAS COM AS FIXADAS NOS TRÊS EXERCÍCIOS ANTERIORES</t>
  </si>
  <si>
    <t>AMF – Demonstrativo 3 (LRF, art.4º, §2º, inciso II)</t>
  </si>
  <si>
    <t>VALORES A PREÇOS CORRENTES</t>
  </si>
  <si>
    <t>Receita Total</t>
  </si>
  <si>
    <t>Despesa Total</t>
  </si>
  <si>
    <t xml:space="preserve">Resultado Nominal  - </t>
  </si>
  <si>
    <t>O Resultado Nominal de 2021, 2022 e 2023 foi apresentado com o método acima da linha, que era o método utilizado no período de elaboração. Os Resultados Nominais de 2024, 2025 e 2026 foram calculados pelo método abaixo da linha.</t>
  </si>
  <si>
    <t>O Resultado Nominal e Primário de 2021, 2022 e 2023 foi apresentado com RPPS, que era o método utilizado no período de elaboração. Os Resultados Nominal e Primário de 2024, 2025 e 2026 foram calculados sem o RPPS.</t>
  </si>
  <si>
    <t>VALORES A PREÇOS CONSTANTES</t>
  </si>
  <si>
    <t>Despesas Primárias (III)</t>
  </si>
  <si>
    <t>Resultado Primário (SEM RPPS) - Acima da Linha (III) = (I – II)</t>
  </si>
  <si>
    <t>Resultado Nominal (SEM RPPS) - Abaixo da Linha</t>
  </si>
  <si>
    <t>FONTE: Planilha Projeções, Parâmetros e LDO de 2023 (Planilha comparações).</t>
  </si>
  <si>
    <r>
      <rPr>
        <b/>
        <sz val="10"/>
        <rFont val="Calibri"/>
        <family val="2"/>
      </rPr>
      <t>NOTA</t>
    </r>
    <r>
      <rPr>
        <sz val="10"/>
        <rFont val="Calibri"/>
        <family val="2"/>
      </rPr>
      <t>: A elaboração desse demonstrativo deve seguir a metodologia de cálculo disposta no item 03.06.00 - Anexo 6 da Parte III do MDF. Portanto, não devem ser consideradas as receitas e despesas com as fontes do RPPS no cálculo acima da linha. Também não devem ser consideradas as dívidas, disponibilidade de caixa e haveres financeiros do RPPS no cálculo abaixo da linha.</t>
    </r>
  </si>
  <si>
    <t>EVOLUÇÃO DO PATRIMÔNIO LÍQUIDO</t>
  </si>
  <si>
    <t xml:space="preserve"> EXERCÍCIO DE 2024</t>
  </si>
  <si>
    <t>AMF - Demonstrativo 4 (LRF, art.4º, §2º, inciso III)</t>
  </si>
  <si>
    <t>PATRIMÔNIO LÍQUIDO</t>
  </si>
  <si>
    <t>Patrimônio/Capital</t>
  </si>
  <si>
    <t>Reservas</t>
  </si>
  <si>
    <t>Resultado Acumulado</t>
  </si>
  <si>
    <t>Ajustes de Exerc.Anteriores</t>
  </si>
  <si>
    <t>TOTAL</t>
  </si>
  <si>
    <t>REGIME PREVIDENCIÁRIO</t>
  </si>
  <si>
    <t>Ajustes de Exerc.Anteiores</t>
  </si>
  <si>
    <t>CONSOLIDAÇÃO GERAL</t>
  </si>
  <si>
    <t>Fonte: Sistema de contabilidade do município de Ivoti, Data da emissão 05/09/2023 e hora de emissão 10:21:14.  Balanço Patrimonial, Anexo 14  da Lei 4.320/64.</t>
  </si>
  <si>
    <t xml:space="preserve">   </t>
  </si>
  <si>
    <t>ORIGEM E APLICAÇÃO DOS RECURSOS OBTIDOS COM A ALIENAÇÃO DE ATIVOS</t>
  </si>
  <si>
    <t>EXERCÍCIO DE 2024</t>
  </si>
  <si>
    <t>AMF - Demonstrativo 5 (LRF, art.4º, §2º, inciso III)</t>
  </si>
  <si>
    <t>RECEITAS REALIZADAS</t>
  </si>
  <si>
    <t>SALDOS DE EXERCÍCIOS ANTERIORES A 2019</t>
  </si>
  <si>
    <t>RECEITAS DE CAPITAL</t>
  </si>
  <si>
    <t xml:space="preserve">    ALIENAÇÃO DE ATIVOS </t>
  </si>
  <si>
    <t xml:space="preserve">        Alienação de Bens Móveis</t>
  </si>
  <si>
    <t xml:space="preserve">        Alienação de Bens Imóveis</t>
  </si>
  <si>
    <t xml:space="preserve">        Alienação de Bens Intangíveis</t>
  </si>
  <si>
    <t>Rendimento de Aplicações Financeira de Alienaç de Bens</t>
  </si>
  <si>
    <t xml:space="preserve">TOTAL </t>
  </si>
  <si>
    <t>DESPESAS  EXECUTADAS</t>
  </si>
  <si>
    <t>APLICAÇÃO DOS RECURSOS DA ALIENAÇÃO DE ATIVOS</t>
  </si>
  <si>
    <t xml:space="preserve">   DESPESAS DE CAPITAL</t>
  </si>
  <si>
    <t xml:space="preserve">         Investimentos</t>
  </si>
  <si>
    <t xml:space="preserve">         Inversões Financeiras</t>
  </si>
  <si>
    <t xml:space="preserve">        Amortização da Dívida</t>
  </si>
  <si>
    <t xml:space="preserve">    DESPESAS CORRENTES DOS REGIMES DE PREVID.</t>
  </si>
  <si>
    <t xml:space="preserve">        Regime Geral de Previdência Social</t>
  </si>
  <si>
    <t xml:space="preserve">        Regime Próprio dos Servidores Públicos  </t>
  </si>
  <si>
    <t xml:space="preserve">SALDO FINANCEIRO </t>
  </si>
  <si>
    <t>Fonte: Sistema contábil, Unidade Responsável Município de Ivoti, Data da emissão 29/082023 e hora de emissão 10:37:25</t>
  </si>
  <si>
    <t>AVALIAÇÃO DA SITUAÇÃO FINANCEIRA E ATUARIAL DO RPPS</t>
  </si>
  <si>
    <t>EXERCÍCIO DE 2023</t>
  </si>
  <si>
    <t>AMF - Demonstrativo 6 (LRF, art. 4º, § 2º, inciso IV, alínea "a")</t>
  </si>
  <si>
    <t>RECEITAS E DESPESAS PREVIDENCIÁRIAS DO REGIME PRÓPRIO DE PREVIDÊNCIA DOS SERVIDORES</t>
  </si>
  <si>
    <t>PLANO PREVIDENCIÁRIO</t>
  </si>
  <si>
    <t>RECEITAS PREVIDENCIÁRIAS - RPPS</t>
  </si>
  <si>
    <t>RECEITAS CORRENTES (I)</t>
  </si>
  <si>
    <t xml:space="preserve">Receita de Contribuições dos Segurados </t>
  </si>
  <si>
    <t>Civil</t>
  </si>
  <si>
    <t xml:space="preserve">Ativo </t>
  </si>
  <si>
    <t xml:space="preserve">Inativo </t>
  </si>
  <si>
    <t xml:space="preserve">Pensionista </t>
  </si>
  <si>
    <t>Militar</t>
  </si>
  <si>
    <t xml:space="preserve">    Receita de Contribuições Patronais </t>
  </si>
  <si>
    <t>Receitas Imobiliárias</t>
  </si>
  <si>
    <t>Receitas de Valores Mobiliários</t>
  </si>
  <si>
    <t>Outras Receitas Patrimoniais</t>
  </si>
  <si>
    <t>Compensação Previdenciária do RGPS para o RPPS</t>
  </si>
  <si>
    <t>Aportes Periódicos para Amortização de Déficit Atuarial do RPPS (II)</t>
  </si>
  <si>
    <t>RECEITAS DE CAPITAL (III)</t>
  </si>
  <si>
    <t>Alienação de Bens, Direitos e Ativos</t>
  </si>
  <si>
    <t>TOTAL DAS RECEITAS PREVIDENCIÁRIAS RPPS - (IV) = (I + III - II)</t>
  </si>
  <si>
    <t>DESPESAS PREVIDENCIÁRIAS - RPPS</t>
  </si>
  <si>
    <t>Benefícios - Civil</t>
  </si>
  <si>
    <t>Aposentadorias</t>
  </si>
  <si>
    <t>Pensões</t>
  </si>
  <si>
    <t>Outros Benefícios Previdenciários</t>
  </si>
  <si>
    <t>Benefícios - Militar</t>
  </si>
  <si>
    <t>Reformas</t>
  </si>
  <si>
    <t>Outras Despesas Previdenciárias</t>
  </si>
  <si>
    <t>Compensação Previdenciária do RPPS para o RGPS</t>
  </si>
  <si>
    <t>Demais Despesas Previdenciárias</t>
  </si>
  <si>
    <t>TOTAL DAS DESPESAS PREVIDENCIÁRIAS RPPS (V)</t>
  </si>
  <si>
    <t>RESULTADO PREVIDENCIÁRIO (VI) = (IV – V)</t>
  </si>
  <si>
    <t>RECURSOS RPPS ARRECADADOS EM EXERCÍCIOS ANTERIORES</t>
  </si>
  <si>
    <t>VALOR</t>
  </si>
  <si>
    <t>RESERVA ORÇAMENTÁRIA DO RPPS</t>
  </si>
  <si>
    <t>APORTES DE RECURSOS PARA O PLANO PREVIDENCIÁRIO DO RPPS</t>
  </si>
  <si>
    <t>Plano de Amortização - Contribuição Patronal Suplementar</t>
  </si>
  <si>
    <t>Plano de Amortização - Aporte Periódico de Valores Predefinidos</t>
  </si>
  <si>
    <t>Outros Aportes para o RPPS</t>
  </si>
  <si>
    <t>Recursos para Cobertura de Déficit Financeiro</t>
  </si>
  <si>
    <t>BENS E DIREITOS DO RPPS</t>
  </si>
  <si>
    <t>Caixa e Equivalentes de Caixa</t>
  </si>
  <si>
    <t>Investimentos e Aplicações</t>
  </si>
  <si>
    <t>Outro Bens e Direitos</t>
  </si>
  <si>
    <t>RECEITAS DA ADMINISTRAÇÃO - RPPS</t>
  </si>
  <si>
    <t>RECEITAS CORRENTES</t>
  </si>
  <si>
    <t>TOTAL DAS RECEITAS DA ADMINISTRAÇÃO RPPS - (XII)</t>
  </si>
  <si>
    <t>DESPESAS DA ADMINISTRAÇÃO - RPPS</t>
  </si>
  <si>
    <t>DESPESAS CORRENTES (XIII)</t>
  </si>
  <si>
    <t>DESPESAS DE CAPITAL (XIV)</t>
  </si>
  <si>
    <t>TOTAL DAS DESPESAS DA ADMINISTRAÇÃO RPPS (XV) = (XIII + XIV)</t>
  </si>
  <si>
    <t>RESULTADO DA ADMINISTRAÇÃO RPPS (XVI) = (XII – XV)</t>
  </si>
  <si>
    <t>PROJEÇÃO ATUARIAL DO REGIME PRÓPRIO DE PREVIDÊNCIA DOS SERVIDORES</t>
  </si>
  <si>
    <t>ESTIMATIVA E COMPENSAÇÃO DA RENÚNCIA DE RECEITA</t>
  </si>
  <si>
    <t>AMF - Demonstrativo 7 (LRF, art. 4°, § 2°, inciso V)</t>
  </si>
  <si>
    <t>TRIBUTO</t>
  </si>
  <si>
    <t>MODALIDADE</t>
  </si>
  <si>
    <t>SETORES/ PROGRAMAS/ BENEFICIÁRIO</t>
  </si>
  <si>
    <t>RENÚNCIA DE RECEITA PREVISTA</t>
  </si>
  <si>
    <t>COMPENSAÇÃO</t>
  </si>
  <si>
    <t>IPTU</t>
  </si>
  <si>
    <t>Isenção</t>
  </si>
  <si>
    <t>Prédio histórico-lei municipal 1410</t>
  </si>
  <si>
    <t>Vide Obsevação</t>
  </si>
  <si>
    <t>Idoso com renda baixa-lei municipal 2915</t>
  </si>
  <si>
    <t>Família com deficiente físico-lei municipal 1501</t>
  </si>
  <si>
    <t>abaixo</t>
  </si>
  <si>
    <t>Empresas com incentivo – lei 2987 STR</t>
  </si>
  <si>
    <t>Empresas com incentivo no loteamento industrial – leis 3044, 3047, 3067, 3364, 3496,3064 e 3066</t>
  </si>
  <si>
    <t>Empresa com incentivo LEI 2987 - STR</t>
  </si>
  <si>
    <t>Taxas diversas</t>
  </si>
  <si>
    <t>Programa de recuperação econômica Lei Municipal 3314: Leis vinculadas, 3334, 3335, 3384, 3390, 3392, 3412 e 3474</t>
  </si>
  <si>
    <t>Taxas de licença e/ou vistoria</t>
  </si>
  <si>
    <t>Programa de incentivo ao desenvolvimento da cadeia  produtiva - Lei 3380/2021</t>
  </si>
  <si>
    <t>Faixa de servidão de rede de alta tensão</t>
  </si>
  <si>
    <t>Não Incidência</t>
  </si>
  <si>
    <t>Área de exploração estrativa vegetal, agrícola, pecuária ou agroindustrial</t>
  </si>
  <si>
    <t xml:space="preserve">          -</t>
  </si>
  <si>
    <t>Fonte:  Sistema tributário do município de Ivoti,Departamento de Arrecadação, Data 10/08/2023.</t>
  </si>
  <si>
    <t>Nota 1: Os valores da renúncia para 2024 foram previstos de acordo com informações da Administração Tributária do Poder Executivo.</t>
  </si>
  <si>
    <t>2 - Os valores da renúncia projetados para 2025 e 2026, foram calculados a partir dos valores de 2024 aplicando-se, sobre eles, as projeções de inflação para os referidos exercícios a saber:</t>
  </si>
  <si>
    <t>Inflação para 2025:</t>
  </si>
  <si>
    <t>Inflação para 2026:</t>
  </si>
  <si>
    <t xml:space="preserve">MARGEM DE EXPANSÃO DAS DESPESAS OBRIGATÓRIAS DE CARÁTER CONTINUADO  </t>
  </si>
  <si>
    <t>AMF - Demonstrativo 8 (LRF, art. 4°, § 2°, inciso V)</t>
  </si>
  <si>
    <t>EVENTO</t>
  </si>
  <si>
    <t>Valor Previsto 2024</t>
  </si>
  <si>
    <t xml:space="preserve">Aumento Permanente da Receita  </t>
  </si>
  <si>
    <t xml:space="preserve">   Decorrente de Receitas Tributárias</t>
  </si>
  <si>
    <t xml:space="preserve">   Decorrente de Transferências Correntes</t>
  </si>
  <si>
    <t>(-) Transferências Constitucionais</t>
  </si>
  <si>
    <t>(-)  Transferências ao FUNDEB</t>
  </si>
  <si>
    <t>Saldo Final do Aumento Permanente de Receita  (I)</t>
  </si>
  <si>
    <t>Redução Permanente de Despesa (II)</t>
  </si>
  <si>
    <t>Margem Bruta  (III) = (I+II)</t>
  </si>
  <si>
    <t>Saldo Utilizado da Margem Bruta (IV)</t>
  </si>
  <si>
    <t xml:space="preserve">   Novas DOCC</t>
  </si>
  <si>
    <t xml:space="preserve">      Relativas a  Pessoal e Encargos Sociais</t>
  </si>
  <si>
    <t xml:space="preserve">      Relativas a  Outras Despesas Correntes</t>
  </si>
  <si>
    <t xml:space="preserve">   Novas DOCC geradas por PPP</t>
  </si>
  <si>
    <t>Margem Líquida de Expansão de DOCC (V) = (III-IV)</t>
  </si>
  <si>
    <t>Fonte: Planilha Projeções.</t>
  </si>
  <si>
    <t>ANEXO DE RISCOS FISCAIS</t>
  </si>
  <si>
    <t>DEMONSTRATIVO DE RISCOS FISCAIS E PROVIDÊNCIAS</t>
  </si>
  <si>
    <r>
      <rPr>
        <sz val="10"/>
        <rFont val="Calibri"/>
        <family val="2"/>
      </rPr>
      <t>ARF (LRF, art 4</t>
    </r>
    <r>
      <rPr>
        <u val="single"/>
        <vertAlign val="superscript"/>
        <sz val="10"/>
        <rFont val="Calibri"/>
        <family val="2"/>
      </rPr>
      <t>o</t>
    </r>
    <r>
      <rPr>
        <sz val="10"/>
        <rFont val="Calibri"/>
        <family val="2"/>
      </rPr>
      <t>, § 3</t>
    </r>
    <r>
      <rPr>
        <u val="single"/>
        <vertAlign val="superscript"/>
        <sz val="10"/>
        <rFont val="Calibri"/>
        <family val="2"/>
      </rPr>
      <t>o</t>
    </r>
    <r>
      <rPr>
        <sz val="10"/>
        <rFont val="Calibri"/>
        <family val="2"/>
      </rPr>
      <t>)</t>
    </r>
  </si>
  <si>
    <t>PASSIVOS CONTINGENTES</t>
  </si>
  <si>
    <t>PROVIDÊNCIAS</t>
  </si>
  <si>
    <t>*Demandas Judiciais</t>
  </si>
  <si>
    <t>Não há</t>
  </si>
  <si>
    <t>*Dívidas em Processo de Reconhecimento</t>
  </si>
  <si>
    <t>Avais e Garantias Concedidas</t>
  </si>
  <si>
    <t>Termo de Parceria com a RS GARANTI para o Plano de Recuperação Econômica PÓS COVID-CREDIVOTI</t>
  </si>
  <si>
    <t>Assunção de Passivos</t>
  </si>
  <si>
    <t>Assistências Diversas</t>
  </si>
  <si>
    <t>Outros Passivos Contingentes</t>
  </si>
  <si>
    <t>SUBTOTAL</t>
  </si>
  <si>
    <t>* Não houve manifestação da procuradoria em resposta ao Ofício Departamento de Contabilidade n° 04/2023.</t>
  </si>
  <si>
    <t>DEMAIS RISCOS FISCAIS PASSIVOS</t>
  </si>
  <si>
    <t>Frustração de Arrecadação</t>
  </si>
  <si>
    <t>Limitação de empenhos e de movimentação financeira</t>
  </si>
  <si>
    <t>Restituição de Tributos a Maior</t>
  </si>
  <si>
    <t>Discrepância de Projeções:</t>
  </si>
  <si>
    <t>Outros Riscos Fiscais</t>
  </si>
  <si>
    <t>LEI DE DIRETRIZES ORÇAMENTÁRIAS – 2024</t>
  </si>
  <si>
    <t>ANEXO  III -  METAS E PRIORIDADES</t>
  </si>
  <si>
    <t>TIPO (*)</t>
  </si>
  <si>
    <t>Ação</t>
  </si>
  <si>
    <t>PPA</t>
  </si>
  <si>
    <t>Produto</t>
  </si>
  <si>
    <t>A</t>
  </si>
  <si>
    <t xml:space="preserve">MANUTENÇÃO DAS ATIVIDADES LEGISLATIVAS </t>
  </si>
  <si>
    <t>MANUTENÇÃO DAS ATIVIDADES DO GABINETE</t>
  </si>
  <si>
    <t xml:space="preserve">CORPO DE BOMBEIROS E DEFESA CIVIL </t>
  </si>
  <si>
    <t>REPASSE A ENTIDADES - CONVÊNIO CONSEPRO E OUTRAS ENTIDADES</t>
  </si>
  <si>
    <t>P</t>
  </si>
  <si>
    <t>VÍDEO MONITORAMENTO</t>
  </si>
  <si>
    <t xml:space="preserve">MANUTENÇÃO DAS ATIVIDADES DA SECRETARIA DA ADMINISTRAÇÃO </t>
  </si>
  <si>
    <t>CONSTRUÇÃO REDE FIBRA ÓPTICA</t>
  </si>
  <si>
    <t>REALIZAÇÃO DE CONCURSOS</t>
  </si>
  <si>
    <t>IMPLANTAÇÃO DE PPCIs</t>
  </si>
  <si>
    <t>CONSTRUÇÃO E REFORMA DOS ESPAÇOS ADMINISTRATIVOS</t>
  </si>
  <si>
    <t>IMPLANTAÇÃO DE ENERGIA FOTOVOLTAICA</t>
  </si>
  <si>
    <t>GESTÃO DE INFRAESTRUTURA DE TI</t>
  </si>
  <si>
    <t>DESENVOLVIMENTO PROFISSIONAL SERVIDOR</t>
  </si>
  <si>
    <t>MANUTENÇÃO DAS ATIVIDADES DA SECRETARIA DE DESENVOLVIMENTO</t>
  </si>
  <si>
    <t xml:space="preserve"> APOIO AO DESENVOLVIMENTO RURAL </t>
  </si>
  <si>
    <t>INCENTIVO A INDÚSTRIA</t>
  </si>
  <si>
    <t xml:space="preserve">MANUTENÇÃO DAS ATIVIDADES DA SECRETARIA EDUCAÇÃO </t>
  </si>
  <si>
    <t>MANUTENÇÃO DAS ATIVIDADES DA SECRETARIA EDUCAÇÃO FUNDEB</t>
  </si>
  <si>
    <t>ATENDIMENTO ESPECIALIZADO NAI</t>
  </si>
  <si>
    <t>ATENDIMENTO ESPECIALIZADO NAI FUNDEB</t>
  </si>
  <si>
    <t>EDUCAÇÃO FISCAL ENSINO FUNDAMENTAL</t>
  </si>
  <si>
    <t xml:space="preserve">CONVÊNIO COM ENTIDADES DE ATENDIMENTOS ESPECIALIZADOS </t>
  </si>
  <si>
    <t>EDUCAÇÃO INFANTIL CRECHE-MDE</t>
  </si>
  <si>
    <t>EDUCAÇÃO INFANTIL CRECHE-FUNDEB</t>
  </si>
  <si>
    <t>EDUCAÇÃO INFANTIL PRE ESCOLA-MDE</t>
  </si>
  <si>
    <t>EDUCAÇÃO INFANTIL PRE ESCOLA-FUNDEB</t>
  </si>
  <si>
    <t>EDUCAÇÃO INFANTIL-SALÁRIO EDUCAÇÃO</t>
  </si>
  <si>
    <t>ENSINO FUNDAMENTAL-MDE</t>
  </si>
  <si>
    <t>ENSINO FUNDAMENTAL-FUNDEB</t>
  </si>
  <si>
    <t>ENSINO FUNDAMENTAL-SALÁRIO EDUCAÇÃO</t>
  </si>
  <si>
    <t xml:space="preserve">SERVIÇOS DE TRANSPORTE ESCOLAR </t>
  </si>
  <si>
    <t>ALIMENTAÇÃO ESCOLAR ENSINO FUNDAMENTAL</t>
  </si>
  <si>
    <t xml:space="preserve"> EVENTOS CULTURAIS</t>
  </si>
  <si>
    <t>ALIMENTAÇÃO ESCOLAR EDUCAÇÃO INFANTIL</t>
  </si>
  <si>
    <t>PROGRAMA LAZER UNINDO GERAÇÕES + PROJETOS ESPECIAIS</t>
  </si>
  <si>
    <t xml:space="preserve">MANUTENÇÃO DAS ATIVIDADES DA SECRETARIA DE OBRAS </t>
  </si>
  <si>
    <t>PAVIMENTAÇÃO DE RUAS</t>
  </si>
  <si>
    <t xml:space="preserve">MELHORIAS E MANUTENÇÃO DA ILUMINAÇÃO PÚBLICA </t>
  </si>
  <si>
    <t xml:space="preserve">CONSERVAÇÃO E ABERTURA DE VIAS URBANAS E RURAIS </t>
  </si>
  <si>
    <t xml:space="preserve">CONSTRUÇÃO E REVITALIZAÇÃO DE PRAÇAS E LOGRADOUROS PÚBLICOS </t>
  </si>
  <si>
    <t>MELHORIA NO SERVIÇO DE LIMPEZA PÚBLICA E COLETA DE LIXO</t>
  </si>
  <si>
    <t xml:space="preserve">DRENAGEM URBANA </t>
  </si>
  <si>
    <t>MANUTENÇÃO DAS ATIVIDADES DA SECRETARIA DE MEIO AMBIENTE</t>
  </si>
  <si>
    <t>PRAÇA AMBIENTAL</t>
  </si>
  <si>
    <t xml:space="preserve">PROGRAMA CONSCIÊNCIA ECOLÓGICA </t>
  </si>
  <si>
    <t xml:space="preserve">GERENCIAMENTO DE RESÍDUOS </t>
  </si>
  <si>
    <t xml:space="preserve">MANUTENÇÃO DO CEAMI </t>
  </si>
  <si>
    <t>PROJETOS AMBIENTAIS</t>
  </si>
  <si>
    <t>MANUTENÇÃO DA PRAÇA SÃO LEOPOLDO</t>
  </si>
  <si>
    <t>PROTEÇÃO E SAÚDE ANIMAL</t>
  </si>
  <si>
    <t>AQUISIÇÃO ÁREA INTERESSE</t>
  </si>
  <si>
    <t xml:space="preserve">MANUTENÇÃO DAS ATIVIDADES DA SECRETARIA DA FAZENDA </t>
  </si>
  <si>
    <t>MANUTENÇÃO DA ADMINISTRAÇÃO TRIBUTÁRIA</t>
  </si>
  <si>
    <t>PROGRAMA DE FISCALIZAÇÃO E AUMENTO DE ARRECADAÇÃO</t>
  </si>
  <si>
    <t>OE</t>
  </si>
  <si>
    <t>AMORTZAÇÃO DO PASSIVO ATUARIAL - RPPS</t>
  </si>
  <si>
    <t xml:space="preserve">MANUTENÇÃO DAS ATIVIDADES DA SECRETARIA DA SAÚDE </t>
  </si>
  <si>
    <t>VIGILÂNCIA EM SAÚDE (EPIDEMIOLOGICA E SANITÁRIA)</t>
  </si>
  <si>
    <t xml:space="preserve">CONTRATAÇÃO DE SERVIÇOS ESPECIALIZADOS EM SAÚDE </t>
  </si>
  <si>
    <t xml:space="preserve">CONSTRUÇÃO, AMPLIAÇÃO E/OU REFORMA DE UNIDADES DE SAÚDE </t>
  </si>
  <si>
    <t xml:space="preserve">CONVÊNIOS COM HOSPITAIS </t>
  </si>
  <si>
    <t>DISTRIBUIÇÃO GRATUITA MEDICAMENTOS E INSUMOS</t>
  </si>
  <si>
    <t>FUNDO DA CRIANÇA E DO ADOLESCENTE</t>
  </si>
  <si>
    <t>ATENÇÃO A FAMÍLIA</t>
  </si>
  <si>
    <t>CONSELHO TUTELAR</t>
  </si>
  <si>
    <t xml:space="preserve">ASSISTÊNCIA SOCIAL - CRAS - CAPS </t>
  </si>
  <si>
    <t xml:space="preserve">CONVÊNIO DE APOIO A PESSOA PORTADORA DE NECESSIDADES ESPECIAIS </t>
  </si>
  <si>
    <t>CENTRO DE REFERÊNCIA DA MULHER</t>
  </si>
  <si>
    <t>REGULARIZAÇÃO FUNDIÁRIA</t>
  </si>
  <si>
    <t>CENTRO DE ESPECIALIDADES</t>
  </si>
  <si>
    <t>CENTRO DO IDOSO</t>
  </si>
  <si>
    <t>MANUTENÇÃO DO DEPARTAMENTO DE CULTURA</t>
  </si>
  <si>
    <t xml:space="preserve">NÚCLEO DE CASAS ENXAIMEL </t>
  </si>
  <si>
    <t xml:space="preserve">CALENDÁRIO DE EVENTOS </t>
  </si>
  <si>
    <t>MANUTENÇÃO DE ATIVIDADES E PROJETOS RELACIONADOS AO TURISMO</t>
  </si>
  <si>
    <t>MANUTENÇÃO DO DEPARTAMENTO DE DESPORTO</t>
  </si>
  <si>
    <t>PATRIMÔNIO HISTÓRICO E CULTURAL</t>
  </si>
  <si>
    <t>MANUTENÇÃO DE PRAÇAS</t>
  </si>
  <si>
    <t>APOIO ADMINISTRATIVO DO RPPS</t>
  </si>
  <si>
    <t>MANUTENÇÃO DAS ATIVIDIDADES DE APOIO AUTARQUIA</t>
  </si>
  <si>
    <t>OPERAÇÃO E MANUTENÇÃO DO SISTEMA DE AGUA POTÁVEL</t>
  </si>
  <si>
    <t>OPERAÇÃO E MANUTENÇÃO DO SISTEMA DE ESGOTAMENTO SANITÁRIO</t>
  </si>
  <si>
    <t>AQUISIÇÃO ÁREA PARA TRATAMENTO DE ESGOTO</t>
  </si>
  <si>
    <t>Total do Programa</t>
  </si>
  <si>
    <t xml:space="preserve">(*)  Tipo:  P – Projeto       A - Atividade </t>
  </si>
  <si>
    <t xml:space="preserve">OE – Operação Especial      NO – Não-orçamentária            </t>
  </si>
  <si>
    <t>LEI DE DIRETRIZES ORÇAMENTÁRIAS - 2024</t>
  </si>
  <si>
    <t>ANEXO IV</t>
  </si>
  <si>
    <t xml:space="preserve">RELATÓRIO SOBRE PROJETOS EM EXECUÇÃO E A EXECUTAR   E DESPESAS COM CONSERVAÇÃO DO PATRIMÔNIO PÚBLICO </t>
  </si>
  <si>
    <t>(Art. 45 da LRF)</t>
  </si>
  <si>
    <t>EXECUÇÃO %</t>
  </si>
  <si>
    <t>RECURSOS PRIORIZADOS PARA 2024</t>
  </si>
  <si>
    <t>IDENTIFICAÇÃO DAS AÇÕES</t>
  </si>
  <si>
    <t>INÍCIO DA EXECUÇÃO</t>
  </si>
  <si>
    <t>VALOR DO PROJETO</t>
  </si>
  <si>
    <t>ATÉ EXERC ANTERIOR - 2022</t>
  </si>
  <si>
    <t>NO EXERCÍCIO DE 2023</t>
  </si>
  <si>
    <t>A EXECUTAR EM 2024</t>
  </si>
  <si>
    <t>PROJETOS EM EXECUÇÃO</t>
  </si>
  <si>
    <t>CONSERVAÇÃO DO PATRIMÔNIO</t>
  </si>
  <si>
    <t>NOVOS PROJETOS</t>
  </si>
  <si>
    <t>RECURSOS</t>
  </si>
  <si>
    <t>Educação</t>
  </si>
  <si>
    <t>Ampliação EMEF Jardim Panorâmico</t>
  </si>
  <si>
    <t>Subestação EMEI Bom Pastor</t>
  </si>
  <si>
    <t>Quadra Bom Pastor</t>
  </si>
  <si>
    <t>Cobertura quadra Olavo</t>
  </si>
  <si>
    <t>Cobertura Nicolau</t>
  </si>
  <si>
    <t>Reforma banheiros Nicolau</t>
  </si>
  <si>
    <t>Fechamento quadra Concórdia</t>
  </si>
  <si>
    <t>Reforma banheiros Guilhermina</t>
  </si>
  <si>
    <t>Salas EMEF Aroni</t>
  </si>
  <si>
    <t>Piso quadra areia EMEF Concórdia</t>
  </si>
  <si>
    <t>Telhado EMEF Concórdia</t>
  </si>
  <si>
    <t>Restauro Salão Holler - 1ª etapa</t>
  </si>
  <si>
    <t>Extensão cobertura EMEF 19</t>
  </si>
  <si>
    <t>Telhado EMEF Nelda</t>
  </si>
  <si>
    <t>Cobertura entre prédio EMEF JP</t>
  </si>
  <si>
    <t>Depósitos EMEF Ildo</t>
  </si>
  <si>
    <t>Mobiliários novos cozinha Jardim dos Sonhos</t>
  </si>
  <si>
    <t>Melhorias banheiros Jardim dos Sonhos</t>
  </si>
  <si>
    <t>Construção de cobertura mini/atletismo</t>
  </si>
  <si>
    <t>Piso do corredor e banheiros Concórdia</t>
  </si>
  <si>
    <t>Reforma banheiros EMEF Concórdia</t>
  </si>
  <si>
    <t>Reforma NAI</t>
  </si>
  <si>
    <t>Execução PPCI EMEIs</t>
  </si>
  <si>
    <t>Execução PPCI EMEFs</t>
  </si>
  <si>
    <t>Execução PPCI Salão Holler</t>
  </si>
  <si>
    <t>Execução PPCI SEMEC</t>
  </si>
  <si>
    <t>Sala e banheiro EMEF Olavo</t>
  </si>
  <si>
    <t>Piso área coberta na EMEI Bom Pastor</t>
  </si>
  <si>
    <t>Troca de pisos corredores da Ildo</t>
  </si>
  <si>
    <t>Fechamento em área coberta na Bem Querer</t>
  </si>
  <si>
    <t>Lavanderia e solário na EMEI Bem Querer</t>
  </si>
  <si>
    <t>Novas salas EMEF 19</t>
  </si>
  <si>
    <t>Refeitório novo na EMEF Ildo</t>
  </si>
  <si>
    <t>Desenvolvimento</t>
  </si>
  <si>
    <t>Passarela Núcleo</t>
  </si>
  <si>
    <t>Cozinha Industrial Sociedade Concórdia</t>
  </si>
  <si>
    <t>Loteamento Industrial – pavimentação Ruas Oscar Nicolau Muller e Albino Henrique Fritsch</t>
  </si>
  <si>
    <t>Substituição de telhado Centro de Eventos</t>
  </si>
  <si>
    <t>Pórtico Colônia Japonesa</t>
  </si>
  <si>
    <t>Revitalização Praça Concórdia</t>
  </si>
  <si>
    <t>Loteamento Industrial 48 Alta</t>
  </si>
  <si>
    <t>Telhado Sociedade Concórdia</t>
  </si>
  <si>
    <t>Turismo e Cultura</t>
  </si>
  <si>
    <t>Piso museu Colônia Japonesa</t>
  </si>
  <si>
    <t>Reforma banheiros Pça Emancipação</t>
  </si>
  <si>
    <t>Reforma banheiros Pça Neldo Holler</t>
  </si>
  <si>
    <t>Revitalização Praça São José</t>
  </si>
  <si>
    <t>Reforma Secretaria de Cultura</t>
  </si>
  <si>
    <t>Restauro Salão Holler - 2ª etapa</t>
  </si>
  <si>
    <t>Mobiliário Núcleo/pórtico</t>
  </si>
  <si>
    <t>Cobertura Núcleo</t>
  </si>
  <si>
    <t>Rua Compartilhada Belvedere</t>
  </si>
  <si>
    <t>Reforma banheiros Ginásio Municipal</t>
  </si>
  <si>
    <t>Reforma vestiários Ginásio Municipal</t>
  </si>
  <si>
    <t>Meio Ambiente</t>
  </si>
  <si>
    <t>Praça Ambiental São Leopoldo</t>
  </si>
  <si>
    <t>Cobertura estufa CEAMI</t>
  </si>
  <si>
    <t>Banheiros Praça Ambiental</t>
  </si>
  <si>
    <t>Reformas CEAMI</t>
  </si>
  <si>
    <t>Obras</t>
  </si>
  <si>
    <t>Pavimentação Ruas Morada do Sol</t>
  </si>
  <si>
    <t>Pavimentação Ruas Jardim Buhler</t>
  </si>
  <si>
    <t>Pavimentação Rua 48 Baixa</t>
  </si>
  <si>
    <t>Pavimentação Ruas Jardim Buhler - 2</t>
  </si>
  <si>
    <t>Pavimentações asfálticas</t>
  </si>
  <si>
    <t>Substituição telhado do pórtico</t>
  </si>
  <si>
    <t>Pavimentação Bom Jardim</t>
  </si>
  <si>
    <t>Três Passos</t>
  </si>
  <si>
    <t>Perimetral</t>
  </si>
  <si>
    <t>Pedro Diehl</t>
  </si>
  <si>
    <t>São João</t>
  </si>
  <si>
    <t>Pavimentação ruas São João, Monte Fuji, Sakura, Edvino Blauth, Rua da Cascata e Ponte do Imperador</t>
  </si>
  <si>
    <t>Ciclovia Vale das Palmeiras</t>
  </si>
  <si>
    <t>Execução de PPCI Secretaria de Obras, PLUG, Ginásio Municipal</t>
  </si>
  <si>
    <t>Ernesto Baungarten</t>
  </si>
  <si>
    <t>Av. Perimetral (restante)- blocos de concreto</t>
  </si>
  <si>
    <t>Rua 25 de Julho - blocos de concreto</t>
  </si>
  <si>
    <t>Av. Costa e Silva - blocos de concreto</t>
  </si>
  <si>
    <t>Estacionamento Núcleo</t>
  </si>
  <si>
    <t>Saúde</t>
  </si>
  <si>
    <t>Construção Centro de Especialidades</t>
  </si>
  <si>
    <t xml:space="preserve">Estacionamento UBS Jardim Panorâmico </t>
  </si>
  <si>
    <t>Estacionamento Posto Central</t>
  </si>
  <si>
    <t>Projeto Centro de Especialidades</t>
  </si>
  <si>
    <t>Execução PPCI Cidade Nova</t>
  </si>
  <si>
    <t>Execução PPCI Posto Central e entornos</t>
  </si>
  <si>
    <t>Ampliação UBS Bom Pastor</t>
  </si>
  <si>
    <t>CRAS</t>
  </si>
  <si>
    <t>Administração</t>
  </si>
  <si>
    <t>Reforma Prédios Administração</t>
  </si>
  <si>
    <t>Placas solares</t>
  </si>
  <si>
    <t>Reforma Câmara de Vereadores</t>
  </si>
  <si>
    <t>Execução de PPCI Administração</t>
  </si>
  <si>
    <t>Substituição de telhado CTG Harmonia</t>
  </si>
  <si>
    <t>Total dos Recursos a Priorizar</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</si>
</sst>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quot;-R$ &quot;* #,##0.00_-;_-&quot;R$ &quot;* \-??_-;_-@_-"/>
    <numFmt numFmtId="165" formatCode="0_);[Red]\(0\)"/>
    <numFmt numFmtId="166" formatCode="_(&quot;R$&quot;* #,##0.00_);_(&quot;R$&quot;* \(#,##0.00\);_(&quot;R$&quot;* \-??_);_(@_)"/>
    <numFmt numFmtId="167" formatCode="0\.0\.0\.0\.00\.0\.0"/>
    <numFmt numFmtId="168" formatCode="_-* #,##0.00_-;\-* #,##0.00_-;_-* \-??_-;_-@_-"/>
    <numFmt numFmtId="169" formatCode="_(* #,##0.00_);_(* \(#,##0.00\);_(* \-??_);_(@_)"/>
    <numFmt numFmtId="170" formatCode="_(* #,##0_);_(* \(#,##0\);_(* \-??_);_(@_)"/>
    <numFmt numFmtId="171" formatCode="&quot;R$ &quot;#,##0.00_);[Red]&quot;(R$ &quot;#,##0.00\)"/>
    <numFmt numFmtId="172" formatCode="#,##0.00_ ;\-#,##0.00\ "/>
    <numFmt numFmtId="173" formatCode="&quot;R$ &quot;#,##0.00;[Red]&quot;-R$ &quot;#,##0.00"/>
    <numFmt numFmtId="174" formatCode="[$R$-416]\ #,##0.00;[Red]\-[$R$-416]\ #,##0.00"/>
    <numFmt numFmtId="175" formatCode="d/m/yyyy"/>
    <numFmt numFmtId="176" formatCode="#,##0.00\ ;#,##0.00\ ;\-#\ ;@\ "/>
  </numFmts>
  <fonts count="90">
    <font>
      <sz val="10"/>
      <name val="Arial"/>
      <family val="0"/>
    </font>
    <font>
      <sz val="11"/>
      <color indexed="8"/>
      <name val="Calibri"/>
      <family val="2"/>
    </font>
    <font>
      <sz val="9"/>
      <name val="Arial"/>
      <family val="2"/>
    </font>
    <font>
      <b/>
      <sz val="9"/>
      <color indexed="10"/>
      <name val="Arial"/>
      <family val="2"/>
    </font>
    <font>
      <b/>
      <sz val="9"/>
      <name val="Arial"/>
      <family val="2"/>
    </font>
    <font>
      <b/>
      <sz val="10"/>
      <name val="Arial"/>
      <family val="2"/>
    </font>
    <font>
      <sz val="10"/>
      <color indexed="10"/>
      <name val="Arial"/>
      <family val="2"/>
    </font>
    <font>
      <sz val="9"/>
      <color indexed="10"/>
      <name val="Arial"/>
      <family val="2"/>
    </font>
    <font>
      <b/>
      <i/>
      <sz val="11"/>
      <name val="Arial"/>
      <family val="2"/>
    </font>
    <font>
      <sz val="11"/>
      <name val="Arial"/>
      <family val="2"/>
    </font>
    <font>
      <b/>
      <i/>
      <sz val="9"/>
      <name val="Arial"/>
      <family val="2"/>
    </font>
    <font>
      <sz val="12"/>
      <color indexed="17"/>
      <name val="Arial"/>
      <family val="0"/>
    </font>
    <font>
      <b/>
      <sz val="12"/>
      <name val="Arial"/>
      <family val="2"/>
    </font>
    <font>
      <b/>
      <sz val="12"/>
      <color indexed="10"/>
      <name val="Arial"/>
      <family val="2"/>
    </font>
    <font>
      <b/>
      <u val="single"/>
      <sz val="12"/>
      <name val="Arial"/>
      <family val="2"/>
    </font>
    <font>
      <u val="single"/>
      <sz val="12"/>
      <name val="Arial"/>
      <family val="2"/>
    </font>
    <font>
      <sz val="12"/>
      <name val="Arial"/>
      <family val="0"/>
    </font>
    <font>
      <b/>
      <i/>
      <sz val="12"/>
      <name val="Arial"/>
      <family val="2"/>
    </font>
    <font>
      <b/>
      <sz val="10"/>
      <color indexed="10"/>
      <name val="Arial"/>
      <family val="2"/>
    </font>
    <font>
      <sz val="14"/>
      <color indexed="17"/>
      <name val="Arial"/>
      <family val="0"/>
    </font>
    <font>
      <b/>
      <sz val="10"/>
      <color indexed="57"/>
      <name val="Arial"/>
      <family val="2"/>
    </font>
    <font>
      <b/>
      <sz val="12"/>
      <color indexed="57"/>
      <name val="Arial"/>
      <family val="2"/>
    </font>
    <font>
      <b/>
      <sz val="14"/>
      <name val="Arial"/>
      <family val="2"/>
    </font>
    <font>
      <sz val="14"/>
      <name val="Arial"/>
      <family val="2"/>
    </font>
    <font>
      <b/>
      <sz val="14"/>
      <color indexed="57"/>
      <name val="Arial"/>
      <family val="2"/>
    </font>
    <font>
      <sz val="12"/>
      <color indexed="10"/>
      <name val="Arial"/>
      <family val="2"/>
    </font>
    <font>
      <sz val="11"/>
      <color indexed="8"/>
      <name val="Arial"/>
      <family val="0"/>
    </font>
    <font>
      <sz val="12"/>
      <color indexed="8"/>
      <name val="Arial"/>
      <family val="0"/>
    </font>
    <font>
      <b/>
      <sz val="12"/>
      <color indexed="8"/>
      <name val="Arial"/>
      <family val="0"/>
    </font>
    <font>
      <sz val="10"/>
      <color indexed="57"/>
      <name val="Arial"/>
      <family val="2"/>
    </font>
    <font>
      <b/>
      <sz val="12"/>
      <color indexed="17"/>
      <name val="Arial"/>
      <family val="0"/>
    </font>
    <font>
      <sz val="11"/>
      <color indexed="17"/>
      <name val="Arial"/>
      <family val="0"/>
    </font>
    <font>
      <b/>
      <sz val="10"/>
      <color indexed="8"/>
      <name val="Arial"/>
      <family val="2"/>
    </font>
    <font>
      <sz val="10"/>
      <color indexed="8"/>
      <name val="Arial"/>
      <family val="2"/>
    </font>
    <font>
      <b/>
      <sz val="11"/>
      <color indexed="10"/>
      <name val="Arial"/>
      <family val="2"/>
    </font>
    <font>
      <b/>
      <sz val="11"/>
      <color indexed="8"/>
      <name val="Arial"/>
      <family val="2"/>
    </font>
    <font>
      <sz val="9"/>
      <color indexed="17"/>
      <name val="Arial"/>
      <family val="2"/>
    </font>
    <font>
      <b/>
      <sz val="16"/>
      <name val="Times New Roman"/>
      <family val="1"/>
    </font>
    <font>
      <b/>
      <sz val="16"/>
      <color indexed="10"/>
      <name val="Times New Roman"/>
      <family val="1"/>
    </font>
    <font>
      <b/>
      <sz val="11"/>
      <name val="Arial"/>
      <family val="2"/>
    </font>
    <font>
      <sz val="11"/>
      <name val="Calibri"/>
      <family val="2"/>
    </font>
    <font>
      <b/>
      <sz val="9"/>
      <color indexed="17"/>
      <name val="Arial"/>
      <family val="2"/>
    </font>
    <font>
      <sz val="10"/>
      <name val="Calibri"/>
      <family val="2"/>
    </font>
    <font>
      <sz val="8"/>
      <name val="Calibri"/>
      <family val="2"/>
    </font>
    <font>
      <b/>
      <sz val="10"/>
      <name val="Calibri"/>
      <family val="2"/>
    </font>
    <font>
      <b/>
      <sz val="8"/>
      <name val="Calibri"/>
      <family val="2"/>
    </font>
    <font>
      <b/>
      <sz val="10"/>
      <color indexed="10"/>
      <name val="Calibri"/>
      <family val="2"/>
    </font>
    <font>
      <strike/>
      <sz val="10"/>
      <color indexed="10"/>
      <name val="Calibri"/>
      <family val="2"/>
    </font>
    <font>
      <sz val="10"/>
      <color indexed="10"/>
      <name val="Calibri"/>
      <family val="2"/>
    </font>
    <font>
      <u val="single"/>
      <vertAlign val="superscript"/>
      <sz val="10"/>
      <name val="Calibri"/>
      <family val="2"/>
    </font>
    <font>
      <sz val="8"/>
      <name val="Arial"/>
      <family val="2"/>
    </font>
    <font>
      <b/>
      <sz val="9"/>
      <color indexed="8"/>
      <name val="Segoe UI"/>
      <family val="2"/>
    </font>
    <font>
      <sz val="9"/>
      <color indexed="8"/>
      <name val="Segoe U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0"/>
      <color indexed="8"/>
      <name val="Calibri"/>
      <family val="0"/>
    </font>
    <font>
      <sz val="10"/>
      <color indexed="8"/>
      <name val="Calibri"/>
      <family val="0"/>
    </font>
    <font>
      <i/>
      <sz val="11"/>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8"/>
        <bgColor indexed="64"/>
      </patternFill>
    </fill>
    <fill>
      <patternFill patternType="solid">
        <fgColor indexed="26"/>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hair">
        <color indexed="8"/>
      </right>
      <top style="dashed">
        <color indexed="8"/>
      </top>
      <bottom>
        <color indexed="63"/>
      </bottom>
    </border>
    <border>
      <left style="hair">
        <color indexed="8"/>
      </left>
      <right style="hair">
        <color indexed="8"/>
      </right>
      <top style="dashed">
        <color indexed="8"/>
      </top>
      <bottom>
        <color indexed="63"/>
      </bottom>
    </border>
    <border>
      <left style="hair">
        <color indexed="8"/>
      </left>
      <right>
        <color indexed="63"/>
      </right>
      <top style="dashed">
        <color indexed="8"/>
      </top>
      <bottom>
        <color indexed="63"/>
      </bottom>
    </border>
    <border>
      <left style="hair">
        <color indexed="8"/>
      </left>
      <right style="dashed">
        <color indexed="8"/>
      </right>
      <top style="dashed">
        <color indexed="8"/>
      </top>
      <bottom>
        <color indexed="63"/>
      </bottom>
    </border>
    <border>
      <left>
        <color indexed="63"/>
      </left>
      <right style="thin">
        <color indexed="8"/>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hair">
        <color indexed="8"/>
      </right>
      <top>
        <color indexed="63"/>
      </top>
      <bottom style="double">
        <color indexed="8"/>
      </bottom>
    </border>
    <border>
      <left style="hair">
        <color indexed="8"/>
      </left>
      <right style="hair">
        <color indexed="8"/>
      </right>
      <top>
        <color indexed="63"/>
      </top>
      <bottom style="double">
        <color indexed="8"/>
      </bottom>
    </border>
    <border>
      <left>
        <color indexed="63"/>
      </left>
      <right>
        <color indexed="63"/>
      </right>
      <top style="double">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9"/>
      </right>
      <top style="thin">
        <color indexed="9"/>
      </top>
      <bottom style="thin">
        <color indexed="8"/>
      </bottom>
    </border>
    <border>
      <left style="thin">
        <color indexed="8"/>
      </left>
      <right style="thin">
        <color indexed="8"/>
      </right>
      <top style="thin">
        <color indexed="8"/>
      </top>
      <bottom style="thin">
        <color indexed="9"/>
      </bottom>
    </border>
    <border>
      <left>
        <color indexed="63"/>
      </left>
      <right style="thin">
        <color indexed="8"/>
      </right>
      <top style="thin">
        <color indexed="8"/>
      </top>
      <bottom style="thin">
        <color indexed="9"/>
      </bottom>
    </border>
    <border>
      <left style="thin">
        <color indexed="8"/>
      </left>
      <right style="thin">
        <color indexed="8"/>
      </right>
      <top style="thin">
        <color indexed="9"/>
      </top>
      <bottom style="thin">
        <color indexed="9"/>
      </bottom>
    </border>
    <border>
      <left>
        <color indexed="63"/>
      </left>
      <right style="thin">
        <color indexed="8"/>
      </right>
      <top style="thin">
        <color indexed="9"/>
      </top>
      <bottom style="thin">
        <color indexed="9"/>
      </bottom>
    </border>
    <border>
      <left style="thin">
        <color indexed="8"/>
      </left>
      <right style="thin">
        <color indexed="8"/>
      </right>
      <top style="thin">
        <color indexed="9"/>
      </top>
      <bottom style="thin">
        <color indexed="8"/>
      </bottom>
    </border>
    <border>
      <left>
        <color indexed="63"/>
      </left>
      <right style="thin">
        <color indexed="8"/>
      </right>
      <top style="thin">
        <color indexed="9"/>
      </top>
      <bottom style="thin">
        <color indexed="8"/>
      </bottom>
    </border>
    <border>
      <left>
        <color indexed="63"/>
      </left>
      <right style="thin">
        <color indexed="8"/>
      </right>
      <top style="thin">
        <color indexed="9"/>
      </top>
      <bottom>
        <color indexed="63"/>
      </bottom>
    </border>
    <border>
      <left style="thin">
        <color indexed="8"/>
      </left>
      <right style="thin">
        <color indexed="8"/>
      </right>
      <top style="thin">
        <color indexed="9"/>
      </top>
      <bottom>
        <color indexed="63"/>
      </bottom>
    </border>
    <border>
      <left style="thin">
        <color indexed="9"/>
      </left>
      <right style="thin">
        <color indexed="9"/>
      </right>
      <top>
        <color indexed="63"/>
      </top>
      <bottom>
        <color indexed="63"/>
      </bottom>
    </border>
    <border>
      <left style="hair">
        <color indexed="8"/>
      </left>
      <right style="hair">
        <color indexed="8"/>
      </right>
      <top style="hair">
        <color indexed="8"/>
      </top>
      <bottom style="hair">
        <color indexed="8"/>
      </bottom>
    </border>
    <border>
      <left style="thin">
        <color indexed="9"/>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medium">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9"/>
      </left>
      <right>
        <color indexed="63"/>
      </right>
      <top style="thin">
        <color indexed="9"/>
      </top>
      <bottom style="thin">
        <color indexed="8"/>
      </bottom>
    </border>
    <border>
      <left>
        <color indexed="63"/>
      </left>
      <right>
        <color indexed="63"/>
      </right>
      <top style="thin">
        <color indexed="9"/>
      </top>
      <bottom style="thin">
        <color indexed="8"/>
      </bottom>
    </border>
    <border>
      <left style="thin">
        <color indexed="9"/>
      </left>
      <right style="thin">
        <color indexed="9"/>
      </right>
      <top>
        <color indexed="63"/>
      </top>
      <bottom style="thin">
        <color indexed="8"/>
      </bottom>
    </border>
    <border>
      <left style="hair">
        <color indexed="8"/>
      </left>
      <right style="thin">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color indexed="63"/>
      </top>
      <bottom style="hair">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color indexed="8"/>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color indexed="63"/>
      </top>
      <bottom style="thin">
        <color indexed="8"/>
      </bottom>
    </border>
    <border>
      <left style="medium">
        <color indexed="8"/>
      </left>
      <right>
        <color indexed="63"/>
      </right>
      <top>
        <color indexed="63"/>
      </top>
      <bottom style="thin">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style="hair">
        <color indexed="8"/>
      </top>
      <bottom style="hair">
        <color indexed="8"/>
      </bottom>
    </border>
    <border>
      <left style="hair">
        <color indexed="8"/>
      </left>
      <right style="hair">
        <color indexed="8"/>
      </right>
      <top style="hair">
        <color indexed="8"/>
      </top>
      <bottom>
        <color indexed="63"/>
      </bottom>
    </border>
    <border>
      <left style="medium">
        <color indexed="8"/>
      </left>
      <right style="medium">
        <color indexed="8"/>
      </right>
      <top>
        <color indexed="63"/>
      </top>
      <bottom style="medium">
        <color indexed="8"/>
      </bottom>
    </border>
    <border>
      <left style="thin">
        <color indexed="8"/>
      </left>
      <right style="medium">
        <color indexed="8"/>
      </right>
      <top style="medium">
        <color indexed="8"/>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8" fillId="29" borderId="1" applyNumberFormat="0" applyAlignment="0" applyProtection="0"/>
    <xf numFmtId="0" fontId="79" fillId="30" borderId="0" applyNumberFormat="0" applyBorder="0" applyAlignment="0" applyProtection="0"/>
    <xf numFmtId="166"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4" applyNumberFormat="0" applyFont="0" applyAlignment="0" applyProtection="0"/>
    <xf numFmtId="9" fontId="0" fillId="0" borderId="0" applyFill="0" applyBorder="0" applyAlignment="0" applyProtection="0"/>
    <xf numFmtId="0" fontId="81" fillId="21" borderId="5" applyNumberFormat="0" applyAlignment="0" applyProtection="0"/>
    <xf numFmtId="41" fontId="0" fillId="0" borderId="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87" fillId="0" borderId="0" applyNumberFormat="0" applyFill="0" applyBorder="0" applyAlignment="0" applyProtection="0"/>
    <xf numFmtId="0" fontId="88" fillId="0" borderId="9" applyNumberFormat="0" applyFill="0" applyAlignment="0" applyProtection="0"/>
    <xf numFmtId="169" fontId="0" fillId="0" borderId="0" applyFill="0" applyBorder="0" applyAlignment="0" applyProtection="0"/>
  </cellStyleXfs>
  <cellXfs count="686">
    <xf numFmtId="0" fontId="0" fillId="0" borderId="0" xfId="0" applyAlignment="1">
      <alignment/>
    </xf>
    <xf numFmtId="0" fontId="2" fillId="0" borderId="0" xfId="0" applyFont="1" applyAlignment="1">
      <alignment/>
    </xf>
    <xf numFmtId="0" fontId="5" fillId="33" borderId="10" xfId="0" applyFont="1" applyFill="1" applyBorder="1" applyAlignment="1">
      <alignment horizontal="center"/>
    </xf>
    <xf numFmtId="0" fontId="2" fillId="0" borderId="0" xfId="0" applyFont="1" applyBorder="1" applyAlignment="1">
      <alignment horizontal="center"/>
    </xf>
    <xf numFmtId="0" fontId="5" fillId="33" borderId="10" xfId="0" applyFont="1" applyFill="1" applyBorder="1" applyAlignment="1" applyProtection="1">
      <alignment/>
      <protection locked="0"/>
    </xf>
    <xf numFmtId="10" fontId="0" fillId="33" borderId="10" xfId="0" applyNumberFormat="1" applyFont="1" applyFill="1" applyBorder="1" applyAlignment="1" applyProtection="1">
      <alignment horizontal="right"/>
      <protection locked="0"/>
    </xf>
    <xf numFmtId="10" fontId="0" fillId="33" borderId="10" xfId="0" applyNumberFormat="1" applyFont="1" applyFill="1" applyBorder="1" applyAlignment="1" applyProtection="1">
      <alignment horizontal="center"/>
      <protection/>
    </xf>
    <xf numFmtId="10" fontId="0" fillId="34" borderId="10" xfId="0" applyNumberFormat="1" applyFont="1" applyFill="1" applyBorder="1" applyAlignment="1" applyProtection="1">
      <alignment horizontal="center"/>
      <protection/>
    </xf>
    <xf numFmtId="0" fontId="5" fillId="33" borderId="10" xfId="0" applyFont="1" applyFill="1" applyBorder="1" applyAlignment="1">
      <alignment/>
    </xf>
    <xf numFmtId="10" fontId="0" fillId="33" borderId="10" xfId="0" applyNumberFormat="1" applyFont="1" applyFill="1" applyBorder="1" applyAlignment="1">
      <alignment horizontal="center"/>
    </xf>
    <xf numFmtId="10" fontId="6" fillId="34" borderId="10" xfId="0" applyNumberFormat="1" applyFont="1" applyFill="1" applyBorder="1" applyAlignment="1" applyProtection="1">
      <alignment horizontal="center"/>
      <protection locked="0"/>
    </xf>
    <xf numFmtId="10" fontId="6" fillId="34" borderId="10" xfId="0" applyNumberFormat="1" applyFont="1" applyFill="1" applyBorder="1" applyAlignment="1" applyProtection="1">
      <alignment horizontal="center"/>
      <protection/>
    </xf>
    <xf numFmtId="0" fontId="7" fillId="0" borderId="0" xfId="0" applyFont="1" applyAlignment="1">
      <alignment/>
    </xf>
    <xf numFmtId="10" fontId="0" fillId="33" borderId="10" xfId="0" applyNumberFormat="1" applyFont="1" applyFill="1" applyBorder="1" applyAlignment="1">
      <alignment/>
    </xf>
    <xf numFmtId="39" fontId="0" fillId="33" borderId="10" xfId="0" applyNumberFormat="1" applyFont="1" applyFill="1" applyBorder="1" applyAlignment="1">
      <alignment/>
    </xf>
    <xf numFmtId="0" fontId="8" fillId="0" borderId="0" xfId="0" applyFont="1" applyAlignment="1">
      <alignment/>
    </xf>
    <xf numFmtId="0" fontId="9" fillId="0" borderId="0" xfId="0" applyFont="1" applyAlignment="1">
      <alignment/>
    </xf>
    <xf numFmtId="0" fontId="2" fillId="0" borderId="0" xfId="0" applyFont="1" applyBorder="1" applyAlignment="1">
      <alignment/>
    </xf>
    <xf numFmtId="38" fontId="11" fillId="0" borderId="0" xfId="0" applyNumberFormat="1" applyFont="1" applyAlignment="1">
      <alignment/>
    </xf>
    <xf numFmtId="38" fontId="11" fillId="0" borderId="0" xfId="0" applyNumberFormat="1" applyFont="1" applyAlignment="1">
      <alignment horizontal="left"/>
    </xf>
    <xf numFmtId="38" fontId="11" fillId="0" borderId="0" xfId="0" applyNumberFormat="1" applyFont="1" applyFill="1" applyAlignment="1">
      <alignment/>
    </xf>
    <xf numFmtId="38" fontId="11" fillId="0" borderId="0" xfId="0" applyNumberFormat="1" applyFont="1" applyFill="1" applyBorder="1" applyAlignment="1" applyProtection="1">
      <alignment/>
      <protection locked="0"/>
    </xf>
    <xf numFmtId="38" fontId="11" fillId="0" borderId="0" xfId="0" applyNumberFormat="1" applyFont="1" applyBorder="1" applyAlignment="1" applyProtection="1">
      <alignment/>
      <protection locked="0"/>
    </xf>
    <xf numFmtId="0" fontId="14" fillId="0" borderId="0" xfId="0" applyFont="1" applyBorder="1" applyAlignment="1" applyProtection="1">
      <alignment horizontal="left"/>
      <protection locked="0"/>
    </xf>
    <xf numFmtId="0" fontId="15" fillId="0" borderId="0" xfId="0" applyFont="1" applyBorder="1" applyAlignment="1" applyProtection="1">
      <alignment horizontal="left"/>
      <protection locked="0"/>
    </xf>
    <xf numFmtId="38" fontId="16" fillId="0" borderId="0" xfId="0" applyNumberFormat="1" applyFont="1" applyBorder="1" applyAlignment="1" applyProtection="1">
      <alignment horizontal="center"/>
      <protection locked="0"/>
    </xf>
    <xf numFmtId="0" fontId="12" fillId="34" borderId="0" xfId="0" applyFont="1" applyFill="1" applyBorder="1" applyAlignment="1" applyProtection="1">
      <alignment/>
      <protection locked="0"/>
    </xf>
    <xf numFmtId="0" fontId="16" fillId="34" borderId="0" xfId="0" applyFont="1" applyFill="1" applyBorder="1" applyAlignment="1" applyProtection="1">
      <alignment horizontal="left"/>
      <protection locked="0"/>
    </xf>
    <xf numFmtId="0" fontId="12" fillId="0" borderId="0" xfId="0" applyFont="1" applyBorder="1" applyAlignment="1" applyProtection="1">
      <alignment horizontal="center"/>
      <protection locked="0"/>
    </xf>
    <xf numFmtId="0" fontId="17" fillId="34" borderId="0" xfId="0" applyFont="1" applyFill="1" applyBorder="1" applyAlignment="1" applyProtection="1">
      <alignment horizontal="right"/>
      <protection locked="0"/>
    </xf>
    <xf numFmtId="165" fontId="5" fillId="35" borderId="11" xfId="0" applyNumberFormat="1" applyFont="1" applyFill="1" applyBorder="1" applyAlignment="1">
      <alignment horizontal="center" vertical="center"/>
    </xf>
    <xf numFmtId="165" fontId="5" fillId="35" borderId="12" xfId="0" applyNumberFormat="1" applyFont="1" applyFill="1" applyBorder="1" applyAlignment="1" applyProtection="1">
      <alignment horizontal="center"/>
      <protection locked="0"/>
    </xf>
    <xf numFmtId="165" fontId="5" fillId="35" borderId="13" xfId="0" applyNumberFormat="1" applyFont="1" applyFill="1" applyBorder="1" applyAlignment="1" applyProtection="1">
      <alignment horizontal="center"/>
      <protection locked="0"/>
    </xf>
    <xf numFmtId="165" fontId="5" fillId="35" borderId="14" xfId="0" applyNumberFormat="1" applyFont="1" applyFill="1" applyBorder="1" applyAlignment="1" applyProtection="1">
      <alignment horizontal="center"/>
      <protection locked="0"/>
    </xf>
    <xf numFmtId="165" fontId="5" fillId="35" borderId="15" xfId="0" applyNumberFormat="1" applyFont="1" applyFill="1" applyBorder="1" applyAlignment="1" applyProtection="1">
      <alignment horizontal="center"/>
      <protection locked="0"/>
    </xf>
    <xf numFmtId="38" fontId="11" fillId="0" borderId="0" xfId="0" applyNumberFormat="1" applyFont="1" applyFill="1" applyAlignment="1" applyProtection="1">
      <alignment/>
      <protection locked="0"/>
    </xf>
    <xf numFmtId="38" fontId="11" fillId="0" borderId="0" xfId="0" applyNumberFormat="1" applyFont="1" applyAlignment="1" applyProtection="1">
      <alignment/>
      <protection locked="0"/>
    </xf>
    <xf numFmtId="166" fontId="5" fillId="35" borderId="16" xfId="45" applyFont="1" applyFill="1" applyBorder="1" applyAlignment="1" applyProtection="1">
      <alignment horizontal="center" vertical="center"/>
      <protection/>
    </xf>
    <xf numFmtId="165" fontId="5" fillId="35" borderId="17" xfId="0" applyNumberFormat="1" applyFont="1" applyFill="1" applyBorder="1" applyAlignment="1">
      <alignment horizontal="center" vertical="center"/>
    </xf>
    <xf numFmtId="165" fontId="5" fillId="35" borderId="18" xfId="0" applyNumberFormat="1" applyFont="1" applyFill="1" applyBorder="1" applyAlignment="1">
      <alignment horizontal="center" vertical="center"/>
    </xf>
    <xf numFmtId="0" fontId="5" fillId="35" borderId="19" xfId="52" applyFont="1" applyFill="1" applyBorder="1" applyAlignment="1">
      <alignment vertical="center"/>
      <protection/>
    </xf>
    <xf numFmtId="167" fontId="18" fillId="35" borderId="19" xfId="52" applyNumberFormat="1" applyFont="1" applyFill="1" applyBorder="1" applyAlignment="1">
      <alignment horizontal="left" vertical="center"/>
      <protection/>
    </xf>
    <xf numFmtId="0" fontId="5" fillId="35" borderId="19" xfId="52" applyNumberFormat="1" applyFont="1" applyFill="1" applyBorder="1" applyAlignment="1">
      <alignment vertical="center" wrapText="1"/>
      <protection/>
    </xf>
    <xf numFmtId="168" fontId="5" fillId="35" borderId="17" xfId="0" applyNumberFormat="1" applyFont="1" applyFill="1" applyBorder="1" applyAlignment="1" applyProtection="1">
      <alignment horizontal="right"/>
      <protection locked="0"/>
    </xf>
    <xf numFmtId="0" fontId="19" fillId="0" borderId="0" xfId="0" applyFont="1" applyFill="1" applyAlignment="1" applyProtection="1">
      <alignment/>
      <protection locked="0"/>
    </xf>
    <xf numFmtId="0" fontId="19" fillId="0" borderId="0" xfId="0" applyFont="1" applyAlignment="1" applyProtection="1">
      <alignment/>
      <protection locked="0"/>
    </xf>
    <xf numFmtId="0" fontId="5" fillId="35" borderId="10" xfId="52" applyFont="1" applyFill="1" applyBorder="1" applyAlignment="1">
      <alignment vertical="center"/>
      <protection/>
    </xf>
    <xf numFmtId="167" fontId="18" fillId="35" borderId="10" xfId="52" applyNumberFormat="1" applyFont="1" applyFill="1" applyBorder="1" applyAlignment="1">
      <alignment horizontal="left" vertical="center"/>
      <protection/>
    </xf>
    <xf numFmtId="0" fontId="5" fillId="35" borderId="10" xfId="52" applyNumberFormat="1" applyFont="1" applyFill="1" applyBorder="1" applyAlignment="1">
      <alignment vertical="center" wrapText="1"/>
      <protection/>
    </xf>
    <xf numFmtId="168" fontId="5" fillId="35" borderId="10" xfId="0" applyNumberFormat="1" applyFont="1" applyFill="1" applyBorder="1" applyAlignment="1">
      <alignment/>
    </xf>
    <xf numFmtId="0" fontId="20" fillId="0" borderId="0" xfId="0" applyFont="1" applyFill="1" applyAlignment="1">
      <alignment/>
    </xf>
    <xf numFmtId="0" fontId="20" fillId="33" borderId="0" xfId="0" applyFont="1" applyFill="1" applyAlignment="1">
      <alignment/>
    </xf>
    <xf numFmtId="0" fontId="0" fillId="35" borderId="10" xfId="52" applyFont="1" applyFill="1" applyBorder="1" applyAlignment="1">
      <alignment vertical="center"/>
      <protection/>
    </xf>
    <xf numFmtId="0" fontId="0" fillId="35" borderId="10" xfId="52" applyNumberFormat="1" applyFont="1" applyFill="1" applyBorder="1" applyAlignment="1">
      <alignment vertical="center" wrapText="1"/>
      <protection/>
    </xf>
    <xf numFmtId="168" fontId="0" fillId="0" borderId="10" xfId="0" applyNumberFormat="1" applyFont="1" applyFill="1" applyBorder="1" applyAlignment="1">
      <alignment/>
    </xf>
    <xf numFmtId="168" fontId="0" fillId="35" borderId="10" xfId="0" applyNumberFormat="1" applyFont="1" applyFill="1" applyBorder="1" applyAlignment="1">
      <alignment/>
    </xf>
    <xf numFmtId="0" fontId="0" fillId="0" borderId="0" xfId="0" applyFill="1" applyAlignment="1">
      <alignment/>
    </xf>
    <xf numFmtId="0" fontId="5" fillId="0" borderId="10" xfId="52" applyFont="1" applyFill="1" applyBorder="1" applyAlignment="1">
      <alignment vertical="center"/>
      <protection/>
    </xf>
    <xf numFmtId="167" fontId="18" fillId="0" borderId="10" xfId="52" applyNumberFormat="1" applyFont="1" applyFill="1" applyBorder="1" applyAlignment="1">
      <alignment horizontal="left" vertical="center"/>
      <protection/>
    </xf>
    <xf numFmtId="0" fontId="5" fillId="0" borderId="10" xfId="52" applyNumberFormat="1" applyFont="1" applyFill="1" applyBorder="1" applyAlignment="1">
      <alignment vertical="center" wrapText="1"/>
      <protection/>
    </xf>
    <xf numFmtId="168" fontId="5" fillId="0" borderId="10" xfId="0" applyNumberFormat="1" applyFont="1" applyFill="1" applyBorder="1" applyAlignment="1">
      <alignment/>
    </xf>
    <xf numFmtId="0" fontId="0" fillId="0" borderId="10" xfId="52" applyFont="1" applyFill="1" applyBorder="1" applyAlignment="1">
      <alignment vertical="center"/>
      <protection/>
    </xf>
    <xf numFmtId="0" fontId="0" fillId="0" borderId="10" xfId="52" applyNumberFormat="1" applyFont="1" applyFill="1" applyBorder="1" applyAlignment="1">
      <alignment vertical="center" wrapText="1"/>
      <protection/>
    </xf>
    <xf numFmtId="0" fontId="21" fillId="0" borderId="0" xfId="0" applyFont="1" applyFill="1" applyAlignment="1">
      <alignment/>
    </xf>
    <xf numFmtId="0" fontId="5" fillId="35" borderId="0" xfId="0" applyFont="1" applyFill="1" applyAlignment="1">
      <alignment/>
    </xf>
    <xf numFmtId="0" fontId="0" fillId="35" borderId="10" xfId="52" applyFont="1" applyFill="1" applyBorder="1" applyAlignment="1">
      <alignment vertical="center" wrapText="1"/>
      <protection/>
    </xf>
    <xf numFmtId="167" fontId="18" fillId="35" borderId="10" xfId="52" applyNumberFormat="1" applyFont="1" applyFill="1" applyBorder="1" applyAlignment="1">
      <alignment horizontal="left" vertical="center" wrapText="1"/>
      <protection/>
    </xf>
    <xf numFmtId="0" fontId="5" fillId="0" borderId="0" xfId="0" applyFont="1" applyFill="1" applyAlignment="1">
      <alignment/>
    </xf>
    <xf numFmtId="0" fontId="5" fillId="0" borderId="0" xfId="0" applyFont="1" applyAlignment="1">
      <alignment/>
    </xf>
    <xf numFmtId="0" fontId="22" fillId="0" borderId="0" xfId="0" applyFont="1" applyFill="1" applyAlignment="1">
      <alignment/>
    </xf>
    <xf numFmtId="168" fontId="18" fillId="0" borderId="10" xfId="0" applyNumberFormat="1" applyFont="1" applyFill="1" applyBorder="1" applyAlignment="1">
      <alignment/>
    </xf>
    <xf numFmtId="167" fontId="0" fillId="0" borderId="10" xfId="52" applyNumberFormat="1" applyFont="1" applyFill="1" applyBorder="1" applyAlignment="1">
      <alignment vertical="center" wrapText="1"/>
      <protection/>
    </xf>
    <xf numFmtId="0" fontId="5" fillId="0" borderId="20" xfId="52" applyFont="1" applyFill="1" applyBorder="1" applyAlignment="1">
      <alignment vertical="center"/>
      <protection/>
    </xf>
    <xf numFmtId="167" fontId="18" fillId="0" borderId="19" xfId="52" applyNumberFormat="1" applyFont="1" applyFill="1" applyBorder="1" applyAlignment="1">
      <alignment horizontal="left" vertical="center"/>
      <protection/>
    </xf>
    <xf numFmtId="0" fontId="23" fillId="0" borderId="0" xfId="0" applyFont="1" applyFill="1" applyAlignment="1">
      <alignment/>
    </xf>
    <xf numFmtId="0" fontId="0" fillId="0" borderId="20" xfId="52" applyFont="1" applyFill="1" applyBorder="1" applyAlignment="1">
      <alignment vertical="center"/>
      <protection/>
    </xf>
    <xf numFmtId="4" fontId="5" fillId="35" borderId="10" xfId="0" applyNumberFormat="1" applyFont="1" applyFill="1" applyBorder="1" applyAlignment="1">
      <alignment/>
    </xf>
    <xf numFmtId="0" fontId="22" fillId="0" borderId="0" xfId="0" applyFont="1" applyAlignment="1">
      <alignment/>
    </xf>
    <xf numFmtId="4" fontId="0" fillId="0" borderId="10" xfId="0" applyNumberFormat="1" applyFont="1" applyFill="1" applyBorder="1" applyAlignment="1">
      <alignment/>
    </xf>
    <xf numFmtId="4" fontId="0" fillId="35" borderId="10" xfId="0" applyNumberFormat="1" applyFont="1" applyFill="1" applyBorder="1" applyAlignment="1">
      <alignment/>
    </xf>
    <xf numFmtId="0" fontId="0" fillId="35" borderId="0" xfId="0" applyFont="1" applyFill="1" applyBorder="1" applyAlignment="1">
      <alignment/>
    </xf>
    <xf numFmtId="0" fontId="0" fillId="35" borderId="0" xfId="0" applyFont="1" applyFill="1" applyBorder="1" applyAlignment="1">
      <alignment horizontal="left"/>
    </xf>
    <xf numFmtId="0" fontId="0" fillId="35" borderId="16" xfId="0" applyFont="1" applyFill="1" applyBorder="1" applyAlignment="1">
      <alignment/>
    </xf>
    <xf numFmtId="169" fontId="0" fillId="35" borderId="10" xfId="0" applyNumberFormat="1" applyFont="1" applyFill="1" applyBorder="1" applyAlignment="1">
      <alignment/>
    </xf>
    <xf numFmtId="0" fontId="5" fillId="35" borderId="21" xfId="0" applyFont="1" applyFill="1" applyBorder="1" applyAlignment="1">
      <alignment/>
    </xf>
    <xf numFmtId="0" fontId="0" fillId="35" borderId="21" xfId="0" applyFont="1" applyFill="1" applyBorder="1" applyAlignment="1">
      <alignment horizontal="left"/>
    </xf>
    <xf numFmtId="0" fontId="5" fillId="35" borderId="22" xfId="0" applyFont="1" applyFill="1" applyBorder="1" applyAlignment="1">
      <alignment/>
    </xf>
    <xf numFmtId="169" fontId="5" fillId="35" borderId="10" xfId="0" applyNumberFormat="1" applyFont="1" applyFill="1" applyBorder="1" applyAlignment="1">
      <alignment/>
    </xf>
    <xf numFmtId="0" fontId="24" fillId="0" borderId="0" xfId="0" applyFont="1" applyFill="1" applyAlignment="1">
      <alignment/>
    </xf>
    <xf numFmtId="0" fontId="24" fillId="33" borderId="0" xfId="0" applyFont="1" applyFill="1" applyAlignment="1">
      <alignment/>
    </xf>
    <xf numFmtId="0" fontId="0" fillId="0" borderId="0" xfId="0" applyFont="1" applyFill="1" applyAlignment="1">
      <alignment/>
    </xf>
    <xf numFmtId="0" fontId="0" fillId="0" borderId="0" xfId="0" applyFont="1" applyFill="1" applyAlignment="1">
      <alignment horizontal="left"/>
    </xf>
    <xf numFmtId="3" fontId="0" fillId="0" borderId="0" xfId="0" applyNumberFormat="1" applyFont="1" applyFill="1" applyAlignment="1">
      <alignment/>
    </xf>
    <xf numFmtId="164" fontId="6" fillId="0" borderId="0" xfId="0" applyNumberFormat="1" applyFont="1" applyFill="1" applyAlignment="1">
      <alignment/>
    </xf>
    <xf numFmtId="3" fontId="6" fillId="0" borderId="0" xfId="0" applyNumberFormat="1" applyFont="1" applyFill="1" applyAlignment="1">
      <alignment/>
    </xf>
    <xf numFmtId="0" fontId="9" fillId="0" borderId="0" xfId="0" applyFont="1" applyFill="1" applyAlignment="1">
      <alignment/>
    </xf>
    <xf numFmtId="0" fontId="16" fillId="0" borderId="0" xfId="0" applyFont="1" applyFill="1" applyAlignment="1">
      <alignment horizontal="left"/>
    </xf>
    <xf numFmtId="0" fontId="16" fillId="0" borderId="0" xfId="0" applyFont="1" applyFill="1" applyAlignment="1">
      <alignment/>
    </xf>
    <xf numFmtId="3" fontId="16" fillId="0" borderId="0" xfId="0" applyNumberFormat="1" applyFont="1" applyFill="1" applyAlignment="1">
      <alignment/>
    </xf>
    <xf numFmtId="164" fontId="25" fillId="0" borderId="0" xfId="0" applyNumberFormat="1" applyFont="1" applyFill="1" applyAlignment="1">
      <alignment/>
    </xf>
    <xf numFmtId="3" fontId="25" fillId="0" borderId="0" xfId="0" applyNumberFormat="1" applyFont="1" applyFill="1" applyAlignment="1">
      <alignment/>
    </xf>
    <xf numFmtId="0" fontId="16" fillId="0" borderId="0" xfId="0" applyFont="1" applyFill="1" applyAlignment="1">
      <alignment/>
    </xf>
    <xf numFmtId="0" fontId="16" fillId="0" borderId="0" xfId="0" applyFont="1" applyAlignment="1">
      <alignment/>
    </xf>
    <xf numFmtId="38" fontId="26" fillId="0" borderId="0" xfId="0" applyNumberFormat="1" applyFont="1" applyAlignment="1" applyProtection="1">
      <alignment/>
      <protection locked="0"/>
    </xf>
    <xf numFmtId="38" fontId="27" fillId="0" borderId="0" xfId="0" applyNumberFormat="1" applyFont="1" applyAlignment="1" applyProtection="1">
      <alignment/>
      <protection locked="0"/>
    </xf>
    <xf numFmtId="165" fontId="12" fillId="35" borderId="12" xfId="0" applyNumberFormat="1" applyFont="1" applyFill="1" applyBorder="1" applyAlignment="1" applyProtection="1">
      <alignment horizontal="center"/>
      <protection locked="0"/>
    </xf>
    <xf numFmtId="165" fontId="12" fillId="35" borderId="13" xfId="0" applyNumberFormat="1" applyFont="1" applyFill="1" applyBorder="1" applyAlignment="1" applyProtection="1">
      <alignment horizontal="center"/>
      <protection locked="0"/>
    </xf>
    <xf numFmtId="165" fontId="12" fillId="35" borderId="14" xfId="0" applyNumberFormat="1" applyFont="1" applyFill="1" applyBorder="1" applyAlignment="1" applyProtection="1">
      <alignment horizontal="center"/>
      <protection locked="0"/>
    </xf>
    <xf numFmtId="165" fontId="12" fillId="35" borderId="15" xfId="0" applyNumberFormat="1" applyFont="1" applyFill="1" applyBorder="1" applyAlignment="1" applyProtection="1">
      <alignment horizontal="center"/>
      <protection locked="0"/>
    </xf>
    <xf numFmtId="165" fontId="12" fillId="35" borderId="17" xfId="0" applyNumberFormat="1" applyFont="1" applyFill="1" applyBorder="1" applyAlignment="1">
      <alignment horizontal="center" vertical="center"/>
    </xf>
    <xf numFmtId="165" fontId="12" fillId="35" borderId="18" xfId="0" applyNumberFormat="1" applyFont="1" applyFill="1" applyBorder="1" applyAlignment="1">
      <alignment horizontal="center" vertical="center"/>
    </xf>
    <xf numFmtId="0" fontId="12" fillId="35" borderId="10" xfId="0" applyFont="1" applyFill="1" applyBorder="1" applyAlignment="1">
      <alignment/>
    </xf>
    <xf numFmtId="169" fontId="5" fillId="0" borderId="10" xfId="0" applyNumberFormat="1" applyFont="1" applyFill="1" applyBorder="1" applyAlignment="1">
      <alignment/>
    </xf>
    <xf numFmtId="169" fontId="12" fillId="35" borderId="10" xfId="0" applyNumberFormat="1" applyFont="1" applyFill="1" applyBorder="1" applyAlignment="1">
      <alignment/>
    </xf>
    <xf numFmtId="0" fontId="20" fillId="35" borderId="0" xfId="0" applyFont="1" applyFill="1" applyAlignment="1">
      <alignment/>
    </xf>
    <xf numFmtId="0" fontId="16" fillId="35" borderId="10" xfId="0" applyFont="1" applyFill="1" applyBorder="1" applyAlignment="1">
      <alignment/>
    </xf>
    <xf numFmtId="169" fontId="16" fillId="35" borderId="10" xfId="0" applyNumberFormat="1" applyFont="1" applyFill="1" applyBorder="1" applyAlignment="1">
      <alignment/>
    </xf>
    <xf numFmtId="169" fontId="0" fillId="0" borderId="10" xfId="0" applyNumberFormat="1" applyFont="1" applyFill="1" applyBorder="1" applyAlignment="1">
      <alignment/>
    </xf>
    <xf numFmtId="0" fontId="29" fillId="0" borderId="0" xfId="0" applyFont="1" applyFill="1" applyAlignment="1">
      <alignment/>
    </xf>
    <xf numFmtId="0" fontId="29" fillId="33" borderId="0" xfId="0" applyFont="1" applyFill="1" applyAlignment="1">
      <alignment/>
    </xf>
    <xf numFmtId="0" fontId="0" fillId="35" borderId="0" xfId="0" applyFill="1" applyAlignment="1">
      <alignment/>
    </xf>
    <xf numFmtId="169" fontId="16" fillId="0" borderId="10" xfId="0" applyNumberFormat="1" applyFont="1" applyFill="1" applyBorder="1" applyAlignment="1">
      <alignment/>
    </xf>
    <xf numFmtId="0" fontId="16" fillId="35" borderId="21" xfId="0" applyFont="1" applyFill="1" applyBorder="1" applyAlignment="1">
      <alignment/>
    </xf>
    <xf numFmtId="0" fontId="22" fillId="35" borderId="22" xfId="0" applyFont="1" applyFill="1" applyBorder="1" applyAlignment="1">
      <alignment/>
    </xf>
    <xf numFmtId="169" fontId="22" fillId="35" borderId="10" xfId="0" applyNumberFormat="1" applyFont="1" applyFill="1" applyBorder="1" applyAlignment="1">
      <alignment/>
    </xf>
    <xf numFmtId="0" fontId="12" fillId="34" borderId="0" xfId="0" applyNumberFormat="1" applyFont="1" applyFill="1" applyBorder="1" applyAlignment="1" applyProtection="1">
      <alignment horizontal="left" vertical="center"/>
      <protection locked="0"/>
    </xf>
    <xf numFmtId="0" fontId="16" fillId="34" borderId="0" xfId="0" applyNumberFormat="1" applyFont="1" applyFill="1" applyBorder="1" applyAlignment="1" applyProtection="1">
      <alignment horizontal="left" vertical="center"/>
      <protection locked="0"/>
    </xf>
    <xf numFmtId="38" fontId="12" fillId="0" borderId="17" xfId="0" applyNumberFormat="1" applyFont="1" applyBorder="1" applyAlignment="1" applyProtection="1">
      <alignment/>
      <protection locked="0"/>
    </xf>
    <xf numFmtId="4" fontId="12" fillId="34" borderId="18" xfId="0" applyNumberFormat="1" applyFont="1" applyFill="1" applyBorder="1" applyAlignment="1" applyProtection="1">
      <alignment vertical="center"/>
      <protection locked="0"/>
    </xf>
    <xf numFmtId="4" fontId="12" fillId="34" borderId="18" xfId="0" applyNumberFormat="1" applyFont="1" applyFill="1" applyBorder="1" applyAlignment="1" applyProtection="1">
      <alignment/>
      <protection locked="0"/>
    </xf>
    <xf numFmtId="38" fontId="16" fillId="0" borderId="0" xfId="0" applyNumberFormat="1" applyFont="1" applyAlignment="1" applyProtection="1">
      <alignment/>
      <protection locked="0"/>
    </xf>
    <xf numFmtId="38" fontId="16" fillId="0" borderId="0" xfId="0" applyNumberFormat="1" applyFont="1" applyAlignment="1" applyProtection="1">
      <alignment horizontal="left"/>
      <protection locked="0"/>
    </xf>
    <xf numFmtId="165" fontId="12" fillId="33" borderId="17" xfId="0" applyNumberFormat="1" applyFont="1" applyFill="1" applyBorder="1" applyAlignment="1" applyProtection="1">
      <alignment horizontal="center"/>
      <protection locked="0"/>
    </xf>
    <xf numFmtId="165" fontId="12" fillId="33" borderId="18" xfId="0" applyNumberFormat="1" applyFont="1" applyFill="1" applyBorder="1" applyAlignment="1" applyProtection="1">
      <alignment horizontal="center"/>
      <protection locked="0"/>
    </xf>
    <xf numFmtId="165" fontId="12" fillId="33" borderId="17" xfId="0" applyNumberFormat="1" applyFont="1" applyFill="1" applyBorder="1" applyAlignment="1">
      <alignment horizontal="center" vertical="center"/>
    </xf>
    <xf numFmtId="165" fontId="12" fillId="33" borderId="18" xfId="0" applyNumberFormat="1" applyFont="1" applyFill="1" applyBorder="1" applyAlignment="1">
      <alignment horizontal="center" vertical="center"/>
    </xf>
    <xf numFmtId="38" fontId="12" fillId="0" borderId="18" xfId="0" applyNumberFormat="1" applyFont="1" applyBorder="1" applyAlignment="1" applyProtection="1">
      <alignment/>
      <protection locked="0"/>
    </xf>
    <xf numFmtId="38" fontId="12" fillId="34" borderId="18" xfId="0" applyNumberFormat="1" applyFont="1" applyFill="1" applyBorder="1" applyAlignment="1" applyProtection="1">
      <alignment/>
      <protection locked="0"/>
    </xf>
    <xf numFmtId="38" fontId="12" fillId="0" borderId="23" xfId="0" applyNumberFormat="1" applyFont="1" applyBorder="1" applyAlignment="1" applyProtection="1">
      <alignment/>
      <protection locked="0"/>
    </xf>
    <xf numFmtId="38" fontId="12" fillId="34" borderId="24" xfId="0" applyNumberFormat="1" applyFont="1" applyFill="1" applyBorder="1" applyAlignment="1" applyProtection="1">
      <alignment/>
      <protection locked="0"/>
    </xf>
    <xf numFmtId="38" fontId="12" fillId="0" borderId="25" xfId="0" applyNumberFormat="1" applyFont="1" applyBorder="1" applyAlignment="1" applyProtection="1">
      <alignment/>
      <protection locked="0"/>
    </xf>
    <xf numFmtId="38" fontId="11" fillId="0" borderId="0" xfId="0" applyNumberFormat="1" applyFont="1" applyAlignment="1" applyProtection="1">
      <alignment horizontal="left"/>
      <protection locked="0"/>
    </xf>
    <xf numFmtId="38" fontId="30" fillId="0" borderId="0" xfId="0" applyNumberFormat="1" applyFont="1" applyBorder="1" applyAlignment="1" applyProtection="1">
      <alignment/>
      <protection locked="0"/>
    </xf>
    <xf numFmtId="0" fontId="9" fillId="0" borderId="0" xfId="0" applyFont="1" applyAlignment="1">
      <alignment/>
    </xf>
    <xf numFmtId="38" fontId="11" fillId="0" borderId="0" xfId="0" applyNumberFormat="1" applyFont="1" applyBorder="1" applyAlignment="1" applyProtection="1">
      <alignment horizontal="left"/>
      <protection locked="0"/>
    </xf>
    <xf numFmtId="38" fontId="30" fillId="0" borderId="0" xfId="0" applyNumberFormat="1" applyFont="1" applyAlignment="1" applyProtection="1">
      <alignment/>
      <protection locked="0"/>
    </xf>
    <xf numFmtId="9" fontId="11" fillId="34" borderId="0" xfId="54" applyFont="1" applyFill="1" applyBorder="1" applyAlignment="1" applyProtection="1">
      <alignment/>
      <protection locked="0"/>
    </xf>
    <xf numFmtId="38" fontId="30" fillId="0" borderId="0" xfId="0" applyNumberFormat="1" applyFont="1" applyFill="1" applyAlignment="1" applyProtection="1">
      <alignment/>
      <protection locked="0"/>
    </xf>
    <xf numFmtId="167" fontId="0" fillId="35" borderId="10" xfId="52" applyNumberFormat="1" applyFont="1" applyFill="1" applyBorder="1" applyAlignment="1">
      <alignment vertical="center" wrapText="1"/>
      <protection/>
    </xf>
    <xf numFmtId="0" fontId="5" fillId="35" borderId="20" xfId="52" applyFont="1" applyFill="1" applyBorder="1" applyAlignment="1">
      <alignment vertical="center"/>
      <protection/>
    </xf>
    <xf numFmtId="0" fontId="0" fillId="35" borderId="20" xfId="52" applyFont="1" applyFill="1" applyBorder="1" applyAlignment="1">
      <alignment vertical="center"/>
      <protection/>
    </xf>
    <xf numFmtId="38" fontId="31" fillId="0" borderId="0" xfId="0" applyNumberFormat="1" applyFont="1" applyAlignment="1" applyProtection="1">
      <alignment horizontal="left"/>
      <protection locked="0"/>
    </xf>
    <xf numFmtId="0" fontId="32" fillId="0" borderId="26" xfId="0" applyFont="1" applyFill="1" applyBorder="1" applyAlignment="1" applyProtection="1">
      <alignment horizontal="center" vertical="center"/>
      <protection/>
    </xf>
    <xf numFmtId="0" fontId="32" fillId="0" borderId="10" xfId="0" applyNumberFormat="1" applyFont="1" applyFill="1" applyBorder="1" applyAlignment="1" applyProtection="1">
      <alignment horizontal="center" vertical="center"/>
      <protection/>
    </xf>
    <xf numFmtId="49" fontId="32" fillId="0" borderId="26" xfId="0" applyNumberFormat="1" applyFont="1" applyFill="1" applyBorder="1" applyAlignment="1" applyProtection="1">
      <alignment vertical="center" wrapText="1"/>
      <protection/>
    </xf>
    <xf numFmtId="168" fontId="32" fillId="34" borderId="10" xfId="0" applyNumberFormat="1" applyFont="1" applyFill="1" applyBorder="1" applyAlignment="1" applyProtection="1">
      <alignment vertical="center"/>
      <protection/>
    </xf>
    <xf numFmtId="49" fontId="32" fillId="0" borderId="26" xfId="0" applyNumberFormat="1" applyFont="1" applyFill="1" applyBorder="1" applyAlignment="1" applyProtection="1">
      <alignment horizontal="left" vertical="center"/>
      <protection/>
    </xf>
    <xf numFmtId="168" fontId="32" fillId="0" borderId="10" xfId="0" applyNumberFormat="1" applyFont="1" applyFill="1" applyBorder="1" applyAlignment="1" applyProtection="1">
      <alignment horizontal="left" vertical="center"/>
      <protection/>
    </xf>
    <xf numFmtId="0" fontId="33" fillId="0" borderId="0" xfId="0" applyFont="1" applyFill="1" applyAlignment="1" applyProtection="1">
      <alignment horizontal="left" vertical="center" indent="1"/>
      <protection/>
    </xf>
    <xf numFmtId="168" fontId="33" fillId="34" borderId="10" xfId="0" applyNumberFormat="1" applyFont="1" applyFill="1" applyBorder="1" applyAlignment="1" applyProtection="1">
      <alignment horizontal="left" vertical="center" indent="1"/>
      <protection/>
    </xf>
    <xf numFmtId="168" fontId="33" fillId="0" borderId="10" xfId="0" applyNumberFormat="1" applyFont="1" applyFill="1" applyBorder="1" applyAlignment="1" applyProtection="1">
      <alignment horizontal="left" vertical="center" indent="1"/>
      <protection/>
    </xf>
    <xf numFmtId="168" fontId="32" fillId="0" borderId="10" xfId="0" applyNumberFormat="1" applyFont="1" applyFill="1" applyBorder="1" applyAlignment="1" applyProtection="1">
      <alignment vertical="center"/>
      <protection/>
    </xf>
    <xf numFmtId="49" fontId="32" fillId="0" borderId="26" xfId="0" applyNumberFormat="1" applyFont="1" applyFill="1" applyBorder="1" applyAlignment="1" applyProtection="1">
      <alignment vertical="center"/>
      <protection/>
    </xf>
    <xf numFmtId="49" fontId="33" fillId="0" borderId="26" xfId="0" applyNumberFormat="1" applyFont="1" applyFill="1" applyBorder="1" applyAlignment="1" applyProtection="1">
      <alignment horizontal="left" vertical="center" wrapText="1"/>
      <protection/>
    </xf>
    <xf numFmtId="10" fontId="0" fillId="0" borderId="0" xfId="0" applyNumberFormat="1" applyFont="1" applyAlignment="1">
      <alignment/>
    </xf>
    <xf numFmtId="0" fontId="35" fillId="34" borderId="0" xfId="0" applyFont="1" applyFill="1" applyBorder="1" applyAlignment="1">
      <alignment horizontal="center" wrapText="1"/>
    </xf>
    <xf numFmtId="0" fontId="5" fillId="34" borderId="21" xfId="0" applyFont="1" applyFill="1" applyBorder="1" applyAlignment="1">
      <alignment horizontal="center" wrapText="1"/>
    </xf>
    <xf numFmtId="1" fontId="32" fillId="34" borderId="22" xfId="65" applyNumberFormat="1" applyFont="1" applyFill="1" applyBorder="1" applyAlignment="1" applyProtection="1">
      <alignment horizontal="center" vertical="center" wrapText="1"/>
      <protection/>
    </xf>
    <xf numFmtId="1" fontId="32" fillId="34" borderId="10" xfId="65" applyNumberFormat="1" applyFont="1" applyFill="1" applyBorder="1" applyAlignment="1" applyProtection="1">
      <alignment horizontal="center" vertical="center" wrapText="1"/>
      <protection/>
    </xf>
    <xf numFmtId="0" fontId="33" fillId="34" borderId="0" xfId="65" applyNumberFormat="1" applyFont="1" applyFill="1" applyBorder="1" applyAlignment="1" applyProtection="1">
      <alignment horizontal="left" vertical="center"/>
      <protection/>
    </xf>
    <xf numFmtId="168" fontId="33" fillId="34" borderId="10" xfId="65" applyNumberFormat="1" applyFont="1" applyFill="1" applyBorder="1" applyAlignment="1" applyProtection="1">
      <alignment horizontal="left" vertical="center" indent="2"/>
      <protection/>
    </xf>
    <xf numFmtId="49" fontId="0" fillId="34" borderId="0" xfId="0" applyNumberFormat="1" applyFont="1" applyFill="1" applyAlignment="1" applyProtection="1">
      <alignment vertical="center"/>
      <protection/>
    </xf>
    <xf numFmtId="170" fontId="0" fillId="34" borderId="0" xfId="65" applyNumberFormat="1" applyFont="1" applyFill="1" applyBorder="1" applyAlignment="1" applyProtection="1">
      <alignment vertical="center"/>
      <protection/>
    </xf>
    <xf numFmtId="0" fontId="33" fillId="34" borderId="27" xfId="65" applyNumberFormat="1" applyFont="1" applyFill="1" applyBorder="1" applyAlignment="1" applyProtection="1">
      <alignment horizontal="left" vertical="center"/>
      <protection/>
    </xf>
    <xf numFmtId="0" fontId="33" fillId="34" borderId="28" xfId="65" applyNumberFormat="1" applyFont="1" applyFill="1" applyBorder="1" applyAlignment="1" applyProtection="1">
      <alignment horizontal="left" vertical="center"/>
      <protection/>
    </xf>
    <xf numFmtId="0" fontId="33" fillId="34" borderId="19" xfId="65" applyNumberFormat="1" applyFont="1" applyFill="1" applyBorder="1" applyAlignment="1" applyProtection="1">
      <alignment horizontal="left" vertical="center"/>
      <protection/>
    </xf>
    <xf numFmtId="0" fontId="0" fillId="0" borderId="0" xfId="0" applyFont="1" applyAlignment="1">
      <alignment horizontal="justify" vertical="top" wrapText="1"/>
    </xf>
    <xf numFmtId="0" fontId="0" fillId="0" borderId="0" xfId="0" applyAlignment="1">
      <alignment/>
    </xf>
    <xf numFmtId="3" fontId="2" fillId="0" borderId="0" xfId="0" applyNumberFormat="1" applyFont="1" applyAlignment="1">
      <alignment/>
    </xf>
    <xf numFmtId="0" fontId="36" fillId="0" borderId="0" xfId="0" applyFont="1" applyAlignment="1">
      <alignment/>
    </xf>
    <xf numFmtId="0" fontId="4" fillId="0" borderId="0" xfId="0" applyFont="1" applyAlignment="1">
      <alignment/>
    </xf>
    <xf numFmtId="3" fontId="39" fillId="0" borderId="10" xfId="0" applyNumberFormat="1" applyFont="1" applyFill="1" applyBorder="1" applyAlignment="1">
      <alignment horizontal="center"/>
    </xf>
    <xf numFmtId="3" fontId="39" fillId="0" borderId="10" xfId="0" applyNumberFormat="1" applyFont="1" applyFill="1" applyBorder="1" applyAlignment="1">
      <alignment horizontal="center" wrapText="1"/>
    </xf>
    <xf numFmtId="0" fontId="39" fillId="0" borderId="10" xfId="0" applyFont="1" applyFill="1" applyBorder="1" applyAlignment="1">
      <alignment horizontal="center" wrapText="1"/>
    </xf>
    <xf numFmtId="0" fontId="39" fillId="0" borderId="10" xfId="0" applyFont="1" applyFill="1" applyBorder="1" applyAlignment="1">
      <alignment/>
    </xf>
    <xf numFmtId="169" fontId="39" fillId="0" borderId="10" xfId="0" applyNumberFormat="1" applyFont="1" applyFill="1" applyBorder="1" applyAlignment="1" applyProtection="1">
      <alignment/>
      <protection locked="0"/>
    </xf>
    <xf numFmtId="169" fontId="39" fillId="34" borderId="10" xfId="0" applyNumberFormat="1" applyFont="1" applyFill="1" applyBorder="1" applyAlignment="1" applyProtection="1">
      <alignment/>
      <protection locked="0"/>
    </xf>
    <xf numFmtId="169" fontId="9" fillId="0" borderId="10" xfId="0" applyNumberFormat="1" applyFont="1" applyFill="1" applyBorder="1" applyAlignment="1" applyProtection="1">
      <alignment/>
      <protection locked="0"/>
    </xf>
    <xf numFmtId="169" fontId="9" fillId="0" borderId="10" xfId="0" applyNumberFormat="1" applyFont="1" applyFill="1" applyBorder="1" applyAlignment="1">
      <alignment/>
    </xf>
    <xf numFmtId="169" fontId="9" fillId="34" borderId="10" xfId="0" applyNumberFormat="1" applyFont="1" applyFill="1" applyBorder="1" applyAlignment="1">
      <alignment/>
    </xf>
    <xf numFmtId="169" fontId="39" fillId="0" borderId="10" xfId="0" applyNumberFormat="1" applyFont="1" applyFill="1" applyBorder="1" applyAlignment="1">
      <alignment/>
    </xf>
    <xf numFmtId="169" fontId="39" fillId="34" borderId="10" xfId="0" applyNumberFormat="1" applyFont="1" applyFill="1" applyBorder="1" applyAlignment="1">
      <alignment/>
    </xf>
    <xf numFmtId="0" fontId="39" fillId="0" borderId="10" xfId="0" applyFont="1" applyFill="1" applyBorder="1" applyAlignment="1">
      <alignment horizontal="center"/>
    </xf>
    <xf numFmtId="10" fontId="39" fillId="34" borderId="10" xfId="0" applyNumberFormat="1" applyFont="1" applyFill="1" applyBorder="1" applyAlignment="1">
      <alignment/>
    </xf>
    <xf numFmtId="4" fontId="39" fillId="34" borderId="0" xfId="54" applyNumberFormat="1" applyFont="1" applyFill="1" applyBorder="1" applyAlignment="1" applyProtection="1">
      <alignment/>
      <protection/>
    </xf>
    <xf numFmtId="4" fontId="9" fillId="34" borderId="0" xfId="54" applyNumberFormat="1" applyFont="1" applyFill="1" applyBorder="1" applyAlignment="1" applyProtection="1">
      <alignment/>
      <protection/>
    </xf>
    <xf numFmtId="4" fontId="2" fillId="34" borderId="0" xfId="54" applyNumberFormat="1" applyFont="1" applyFill="1" applyBorder="1" applyAlignment="1" applyProtection="1">
      <alignment/>
      <protection/>
    </xf>
    <xf numFmtId="0" fontId="39" fillId="0" borderId="0" xfId="0" applyFont="1" applyAlignment="1">
      <alignment/>
    </xf>
    <xf numFmtId="3" fontId="9" fillId="0" borderId="0" xfId="0" applyNumberFormat="1" applyFont="1" applyBorder="1" applyAlignment="1">
      <alignment/>
    </xf>
    <xf numFmtId="4" fontId="9" fillId="0" borderId="0" xfId="0" applyNumberFormat="1" applyFont="1" applyBorder="1" applyAlignment="1">
      <alignment/>
    </xf>
    <xf numFmtId="0" fontId="8" fillId="0" borderId="0" xfId="0" applyFont="1" applyAlignment="1">
      <alignment horizontal="right"/>
    </xf>
    <xf numFmtId="0" fontId="39" fillId="0" borderId="10" xfId="0" applyFont="1" applyFill="1" applyBorder="1" applyAlignment="1">
      <alignment horizontal="left" vertical="center" wrapText="1"/>
    </xf>
    <xf numFmtId="169" fontId="39" fillId="0" borderId="10" xfId="0" applyNumberFormat="1" applyFont="1" applyFill="1" applyBorder="1" applyAlignment="1">
      <alignment horizontal="right"/>
    </xf>
    <xf numFmtId="169" fontId="39" fillId="0" borderId="10" xfId="0" applyNumberFormat="1" applyFont="1" applyFill="1" applyBorder="1" applyAlignment="1" applyProtection="1">
      <alignment horizontal="right"/>
      <protection locked="0"/>
    </xf>
    <xf numFmtId="0" fontId="2" fillId="0" borderId="0" xfId="0" applyFont="1" applyFill="1" applyAlignment="1">
      <alignment/>
    </xf>
    <xf numFmtId="0" fontId="9" fillId="0" borderId="10" xfId="0" applyFont="1" applyBorder="1" applyAlignment="1">
      <alignment/>
    </xf>
    <xf numFmtId="169" fontId="9" fillId="0" borderId="10" xfId="0" applyNumberFormat="1" applyFont="1" applyBorder="1" applyAlignment="1">
      <alignment/>
    </xf>
    <xf numFmtId="0" fontId="41" fillId="0" borderId="0" xfId="0" applyFont="1" applyAlignment="1">
      <alignment/>
    </xf>
    <xf numFmtId="0" fontId="42" fillId="0" borderId="0" xfId="49" applyFont="1">
      <alignment/>
      <protection/>
    </xf>
    <xf numFmtId="0" fontId="43" fillId="0" borderId="0" xfId="49" applyFont="1">
      <alignment/>
      <protection/>
    </xf>
    <xf numFmtId="0" fontId="42" fillId="0" borderId="29" xfId="49" applyFont="1" applyBorder="1" applyAlignment="1">
      <alignment horizontal="left" wrapText="1"/>
      <protection/>
    </xf>
    <xf numFmtId="0" fontId="42" fillId="0" borderId="0" xfId="49" applyFont="1" applyAlignment="1">
      <alignment horizontal="center" vertical="center"/>
      <protection/>
    </xf>
    <xf numFmtId="0" fontId="44" fillId="0" borderId="30" xfId="49" applyFont="1" applyFill="1" applyBorder="1" applyAlignment="1">
      <alignment horizontal="center" vertical="top" wrapText="1"/>
      <protection/>
    </xf>
    <xf numFmtId="0" fontId="44" fillId="0" borderId="31" xfId="49" applyFont="1" applyFill="1" applyBorder="1" applyAlignment="1">
      <alignment horizontal="center" vertical="top" wrapText="1"/>
      <protection/>
    </xf>
    <xf numFmtId="0" fontId="45" fillId="0" borderId="31" xfId="49" applyFont="1" applyFill="1" applyBorder="1" applyAlignment="1">
      <alignment horizontal="center" vertical="top" wrapText="1"/>
      <protection/>
    </xf>
    <xf numFmtId="0" fontId="45" fillId="0" borderId="30" xfId="49" applyFont="1" applyFill="1" applyBorder="1" applyAlignment="1">
      <alignment horizontal="center" wrapText="1"/>
      <protection/>
    </xf>
    <xf numFmtId="0" fontId="44" fillId="0" borderId="30" xfId="49" applyFont="1" applyFill="1" applyBorder="1" applyAlignment="1">
      <alignment horizontal="center" wrapText="1"/>
      <protection/>
    </xf>
    <xf numFmtId="0" fontId="44" fillId="0" borderId="32" xfId="49" applyFont="1" applyFill="1" applyBorder="1" applyAlignment="1">
      <alignment horizontal="center" vertical="top" wrapText="1"/>
      <protection/>
    </xf>
    <xf numFmtId="0" fontId="44" fillId="0" borderId="33" xfId="49" applyFont="1" applyFill="1" applyBorder="1" applyAlignment="1">
      <alignment horizontal="center" vertical="top" wrapText="1"/>
      <protection/>
    </xf>
    <xf numFmtId="0" fontId="45" fillId="0" borderId="33" xfId="49" applyFont="1" applyFill="1" applyBorder="1" applyAlignment="1">
      <alignment horizontal="center" vertical="top" wrapText="1"/>
      <protection/>
    </xf>
    <xf numFmtId="0" fontId="45" fillId="0" borderId="32" xfId="49" applyFont="1" applyFill="1" applyBorder="1" applyAlignment="1">
      <alignment horizontal="center" vertical="top" wrapText="1"/>
      <protection/>
    </xf>
    <xf numFmtId="0" fontId="44" fillId="0" borderId="34" xfId="49" applyFont="1" applyFill="1" applyBorder="1" applyAlignment="1">
      <alignment horizontal="center" vertical="top" wrapText="1"/>
      <protection/>
    </xf>
    <xf numFmtId="0" fontId="44" fillId="0" borderId="35" xfId="49" applyFont="1" applyFill="1" applyBorder="1" applyAlignment="1">
      <alignment vertical="top" wrapText="1"/>
      <protection/>
    </xf>
    <xf numFmtId="0" fontId="45" fillId="0" borderId="35" xfId="49" applyFont="1" applyFill="1" applyBorder="1" applyAlignment="1">
      <alignment horizontal="center" vertical="top" wrapText="1"/>
      <protection/>
    </xf>
    <xf numFmtId="0" fontId="44" fillId="0" borderId="36" xfId="49" applyFont="1" applyFill="1" applyBorder="1" applyAlignment="1">
      <alignment horizontal="center" vertical="top" wrapText="1"/>
      <protection/>
    </xf>
    <xf numFmtId="0" fontId="44" fillId="0" borderId="35" xfId="49" applyFont="1" applyFill="1" applyBorder="1" applyAlignment="1">
      <alignment horizontal="center" vertical="top" wrapText="1"/>
      <protection/>
    </xf>
    <xf numFmtId="0" fontId="45" fillId="0" borderId="34" xfId="49" applyFont="1" applyFill="1" applyBorder="1" applyAlignment="1">
      <alignment horizontal="center" wrapText="1"/>
      <protection/>
    </xf>
    <xf numFmtId="0" fontId="44" fillId="0" borderId="37" xfId="49" applyFont="1" applyFill="1" applyBorder="1" applyAlignment="1">
      <alignment horizontal="center" wrapText="1"/>
      <protection/>
    </xf>
    <xf numFmtId="0" fontId="44" fillId="0" borderId="16" xfId="49" applyFont="1" applyFill="1" applyBorder="1" applyAlignment="1">
      <alignment wrapText="1"/>
      <protection/>
    </xf>
    <xf numFmtId="4" fontId="44" fillId="0" borderId="16" xfId="49" applyNumberFormat="1" applyFont="1" applyFill="1" applyBorder="1" applyAlignment="1">
      <alignment wrapText="1"/>
      <protection/>
    </xf>
    <xf numFmtId="4" fontId="44" fillId="0" borderId="27" xfId="49" applyNumberFormat="1" applyFont="1" applyFill="1" applyBorder="1" applyAlignment="1">
      <alignment wrapText="1"/>
      <protection/>
    </xf>
    <xf numFmtId="10" fontId="44" fillId="0" borderId="27" xfId="49" applyNumberFormat="1" applyFont="1" applyFill="1" applyBorder="1" applyAlignment="1">
      <alignment wrapText="1"/>
      <protection/>
    </xf>
    <xf numFmtId="10" fontId="42" fillId="0" borderId="27" xfId="49" applyNumberFormat="1" applyFont="1" applyFill="1" applyBorder="1" applyAlignment="1">
      <alignment wrapText="1"/>
      <protection/>
    </xf>
    <xf numFmtId="4" fontId="44" fillId="0" borderId="28" xfId="49" applyNumberFormat="1" applyFont="1" applyFill="1" applyBorder="1" applyAlignment="1">
      <alignment wrapText="1"/>
      <protection/>
    </xf>
    <xf numFmtId="10" fontId="44" fillId="0" borderId="28" xfId="49" applyNumberFormat="1" applyFont="1" applyFill="1" applyBorder="1" applyAlignment="1">
      <alignment wrapText="1"/>
      <protection/>
    </xf>
    <xf numFmtId="10" fontId="42" fillId="0" borderId="28" xfId="49" applyNumberFormat="1" applyFont="1" applyFill="1" applyBorder="1" applyAlignment="1">
      <alignment wrapText="1"/>
      <protection/>
    </xf>
    <xf numFmtId="0" fontId="42" fillId="0" borderId="16" xfId="49" applyFont="1" applyFill="1" applyBorder="1" applyAlignment="1">
      <alignment horizontal="left" wrapText="1"/>
      <protection/>
    </xf>
    <xf numFmtId="4" fontId="42" fillId="0" borderId="16" xfId="49" applyNumberFormat="1" applyFont="1" applyFill="1" applyBorder="1" applyAlignment="1">
      <alignment wrapText="1"/>
      <protection/>
    </xf>
    <xf numFmtId="4" fontId="42" fillId="0" borderId="28" xfId="49" applyNumberFormat="1" applyFont="1" applyFill="1" applyBorder="1" applyAlignment="1">
      <alignment wrapText="1"/>
      <protection/>
    </xf>
    <xf numFmtId="0" fontId="42" fillId="0" borderId="16" xfId="49" applyFont="1" applyFill="1" applyBorder="1" applyAlignment="1">
      <alignment wrapText="1"/>
      <protection/>
    </xf>
    <xf numFmtId="0" fontId="44" fillId="0" borderId="22" xfId="49" applyFont="1" applyFill="1" applyBorder="1" applyAlignment="1">
      <alignment wrapText="1"/>
      <protection/>
    </xf>
    <xf numFmtId="4" fontId="44" fillId="0" borderId="22" xfId="49" applyNumberFormat="1" applyFont="1" applyFill="1" applyBorder="1" applyAlignment="1">
      <alignment wrapText="1"/>
      <protection/>
    </xf>
    <xf numFmtId="4" fontId="44" fillId="0" borderId="19" xfId="49" applyNumberFormat="1" applyFont="1" applyFill="1" applyBorder="1" applyAlignment="1">
      <alignment wrapText="1"/>
      <protection/>
    </xf>
    <xf numFmtId="10" fontId="44" fillId="0" borderId="19" xfId="49" applyNumberFormat="1" applyFont="1" applyFill="1" applyBorder="1" applyAlignment="1">
      <alignment wrapText="1"/>
      <protection/>
    </xf>
    <xf numFmtId="10" fontId="42" fillId="0" borderId="19" xfId="49" applyNumberFormat="1" applyFont="1" applyFill="1" applyBorder="1" applyAlignment="1">
      <alignment wrapText="1"/>
      <protection/>
    </xf>
    <xf numFmtId="4" fontId="42" fillId="34" borderId="16" xfId="49" applyNumberFormat="1" applyFont="1" applyFill="1" applyBorder="1" applyAlignment="1">
      <alignment wrapText="1"/>
      <protection/>
    </xf>
    <xf numFmtId="4" fontId="42" fillId="34" borderId="27" xfId="49" applyNumberFormat="1" applyFont="1" applyFill="1" applyBorder="1" applyAlignment="1">
      <alignment wrapText="1"/>
      <protection/>
    </xf>
    <xf numFmtId="10" fontId="42" fillId="34" borderId="27" xfId="49" applyNumberFormat="1" applyFont="1" applyFill="1" applyBorder="1" applyAlignment="1">
      <alignment wrapText="1"/>
      <protection/>
    </xf>
    <xf numFmtId="10" fontId="42" fillId="34" borderId="28" xfId="49" applyNumberFormat="1" applyFont="1" applyFill="1" applyBorder="1" applyAlignment="1">
      <alignment wrapText="1"/>
      <protection/>
    </xf>
    <xf numFmtId="4" fontId="42" fillId="34" borderId="28" xfId="49" applyNumberFormat="1" applyFont="1" applyFill="1" applyBorder="1" applyAlignment="1">
      <alignment wrapText="1"/>
      <protection/>
    </xf>
    <xf numFmtId="0" fontId="0" fillId="0" borderId="0" xfId="0" applyFont="1" applyAlignment="1">
      <alignment/>
    </xf>
    <xf numFmtId="0" fontId="42" fillId="0" borderId="0" xfId="0" applyFont="1" applyAlignment="1">
      <alignment/>
    </xf>
    <xf numFmtId="0" fontId="42" fillId="0" borderId="38" xfId="0" applyFont="1" applyBorder="1" applyAlignment="1">
      <alignment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wrapText="1"/>
    </xf>
    <xf numFmtId="0" fontId="42" fillId="0" borderId="28" xfId="0" applyFont="1" applyFill="1" applyBorder="1" applyAlignment="1">
      <alignment wrapText="1"/>
    </xf>
    <xf numFmtId="4" fontId="42" fillId="0" borderId="39" xfId="0" applyNumberFormat="1" applyFont="1" applyFill="1" applyBorder="1" applyAlignment="1">
      <alignment wrapText="1"/>
    </xf>
    <xf numFmtId="10" fontId="42" fillId="34" borderId="27" xfId="0" applyNumberFormat="1" applyFont="1" applyFill="1" applyBorder="1" applyAlignment="1">
      <alignment horizontal="center" wrapText="1"/>
    </xf>
    <xf numFmtId="4" fontId="42" fillId="0" borderId="16" xfId="0" applyNumberFormat="1" applyFont="1" applyFill="1" applyBorder="1" applyAlignment="1">
      <alignment wrapText="1"/>
    </xf>
    <xf numFmtId="4" fontId="42" fillId="34" borderId="27" xfId="0" applyNumberFormat="1" applyFont="1" applyFill="1" applyBorder="1" applyAlignment="1">
      <alignment vertical="top" wrapText="1"/>
    </xf>
    <xf numFmtId="10" fontId="42" fillId="34" borderId="27" xfId="0" applyNumberFormat="1" applyFont="1" applyFill="1" applyBorder="1" applyAlignment="1">
      <alignment vertical="top" wrapText="1"/>
    </xf>
    <xf numFmtId="10" fontId="42" fillId="0" borderId="28" xfId="0" applyNumberFormat="1" applyFont="1" applyFill="1" applyBorder="1" applyAlignment="1">
      <alignment horizontal="center" wrapText="1"/>
    </xf>
    <xf numFmtId="4" fontId="42" fillId="0" borderId="28" xfId="0" applyNumberFormat="1" applyFont="1" applyFill="1" applyBorder="1" applyAlignment="1">
      <alignment vertical="top" wrapText="1"/>
    </xf>
    <xf numFmtId="10" fontId="42" fillId="0" borderId="28" xfId="0" applyNumberFormat="1" applyFont="1" applyFill="1" applyBorder="1" applyAlignment="1">
      <alignment vertical="top" wrapText="1"/>
    </xf>
    <xf numFmtId="0" fontId="47" fillId="0" borderId="0" xfId="0" applyFont="1" applyAlignment="1">
      <alignment/>
    </xf>
    <xf numFmtId="10" fontId="42" fillId="34" borderId="28" xfId="0" applyNumberFormat="1" applyFont="1" applyFill="1" applyBorder="1" applyAlignment="1">
      <alignment horizontal="center" wrapText="1"/>
    </xf>
    <xf numFmtId="4" fontId="42" fillId="34" borderId="28" xfId="0" applyNumberFormat="1" applyFont="1" applyFill="1" applyBorder="1" applyAlignment="1">
      <alignment vertical="top" wrapText="1"/>
    </xf>
    <xf numFmtId="10" fontId="42" fillId="34" borderId="28" xfId="0" applyNumberFormat="1" applyFont="1" applyFill="1" applyBorder="1" applyAlignment="1">
      <alignment vertical="top" wrapText="1"/>
    </xf>
    <xf numFmtId="4" fontId="42" fillId="0" borderId="28" xfId="0" applyNumberFormat="1" applyFont="1" applyFill="1" applyBorder="1" applyAlignment="1">
      <alignment wrapText="1"/>
    </xf>
    <xf numFmtId="0" fontId="42" fillId="0" borderId="19" xfId="0" applyFont="1" applyFill="1" applyBorder="1" applyAlignment="1">
      <alignment wrapText="1"/>
    </xf>
    <xf numFmtId="10" fontId="42" fillId="34" borderId="19" xfId="0" applyNumberFormat="1" applyFont="1" applyFill="1" applyBorder="1" applyAlignment="1">
      <alignment horizontal="center" wrapText="1"/>
    </xf>
    <xf numFmtId="4" fontId="42" fillId="0" borderId="19" xfId="0" applyNumberFormat="1" applyFont="1" applyFill="1" applyBorder="1" applyAlignment="1">
      <alignment wrapText="1"/>
    </xf>
    <xf numFmtId="4" fontId="42" fillId="34" borderId="19" xfId="0" applyNumberFormat="1" applyFont="1" applyFill="1" applyBorder="1" applyAlignment="1">
      <alignment vertical="top" wrapText="1"/>
    </xf>
    <xf numFmtId="10" fontId="42" fillId="34" borderId="19" xfId="0" applyNumberFormat="1" applyFont="1" applyFill="1" applyBorder="1" applyAlignment="1">
      <alignment vertical="top" wrapText="1"/>
    </xf>
    <xf numFmtId="171" fontId="42" fillId="0" borderId="40" xfId="49" applyNumberFormat="1" applyFont="1" applyBorder="1" applyAlignment="1">
      <alignment wrapText="1"/>
      <protection/>
    </xf>
    <xf numFmtId="0" fontId="44" fillId="33" borderId="10" xfId="49" applyFont="1" applyFill="1" applyBorder="1" applyAlignment="1">
      <alignment horizontal="center" vertical="center" wrapText="1"/>
      <protection/>
    </xf>
    <xf numFmtId="0" fontId="42" fillId="0" borderId="10" xfId="49" applyFont="1" applyFill="1" applyBorder="1">
      <alignment/>
      <protection/>
    </xf>
    <xf numFmtId="10" fontId="42" fillId="0" borderId="10" xfId="49" applyNumberFormat="1" applyFont="1" applyFill="1" applyBorder="1">
      <alignment/>
      <protection/>
    </xf>
    <xf numFmtId="168" fontId="42" fillId="0" borderId="10" xfId="49" applyNumberFormat="1" applyFont="1" applyFill="1" applyBorder="1">
      <alignment/>
      <protection/>
    </xf>
    <xf numFmtId="0" fontId="42" fillId="0" borderId="0" xfId="0" applyFont="1" applyFill="1" applyAlignment="1">
      <alignment/>
    </xf>
    <xf numFmtId="171" fontId="42" fillId="0" borderId="0" xfId="0" applyNumberFormat="1" applyFont="1" applyFill="1" applyAlignment="1">
      <alignment horizontal="right"/>
    </xf>
    <xf numFmtId="0" fontId="44" fillId="0" borderId="41" xfId="0" applyFont="1" applyFill="1" applyBorder="1" applyAlignment="1">
      <alignment/>
    </xf>
    <xf numFmtId="0" fontId="44" fillId="0" borderId="0" xfId="0" applyFont="1" applyFill="1" applyAlignment="1">
      <alignment horizontal="center" vertical="center"/>
    </xf>
    <xf numFmtId="0" fontId="44" fillId="0" borderId="42" xfId="0" applyNumberFormat="1" applyFont="1" applyFill="1" applyBorder="1" applyAlignment="1">
      <alignment horizontal="center" vertical="center"/>
    </xf>
    <xf numFmtId="0" fontId="44" fillId="0" borderId="43" xfId="0" applyNumberFormat="1" applyFont="1" applyFill="1" applyBorder="1" applyAlignment="1">
      <alignment horizontal="center" vertical="center"/>
    </xf>
    <xf numFmtId="0" fontId="44" fillId="0" borderId="27" xfId="0" applyFont="1" applyFill="1" applyBorder="1" applyAlignment="1">
      <alignment horizontal="center" vertical="center"/>
    </xf>
    <xf numFmtId="0" fontId="42" fillId="0" borderId="0" xfId="0" applyFont="1" applyAlignment="1">
      <alignment vertical="center"/>
    </xf>
    <xf numFmtId="0" fontId="42" fillId="0" borderId="41" xfId="0" applyFont="1" applyFill="1" applyBorder="1" applyAlignment="1">
      <alignment/>
    </xf>
    <xf numFmtId="4" fontId="42" fillId="0" borderId="10" xfId="0" applyNumberFormat="1" applyFont="1" applyFill="1" applyBorder="1" applyAlignment="1">
      <alignment vertical="top"/>
    </xf>
    <xf numFmtId="10" fontId="42" fillId="34" borderId="10" xfId="0" applyNumberFormat="1" applyFont="1" applyFill="1" applyBorder="1" applyAlignment="1">
      <alignment horizontal="center" vertical="top"/>
    </xf>
    <xf numFmtId="4" fontId="42" fillId="34" borderId="10" xfId="0" applyNumberFormat="1" applyFont="1" applyFill="1" applyBorder="1" applyAlignment="1">
      <alignment vertical="top"/>
    </xf>
    <xf numFmtId="4" fontId="42" fillId="34" borderId="10" xfId="0" applyNumberFormat="1" applyFont="1" applyFill="1" applyBorder="1" applyAlignment="1">
      <alignment/>
    </xf>
    <xf numFmtId="0" fontId="44" fillId="0" borderId="0" xfId="0" applyFont="1" applyFill="1" applyAlignment="1">
      <alignment/>
    </xf>
    <xf numFmtId="4" fontId="44" fillId="34" borderId="10" xfId="0" applyNumberFormat="1" applyFont="1" applyFill="1" applyBorder="1" applyAlignment="1">
      <alignment/>
    </xf>
    <xf numFmtId="10" fontId="44" fillId="34" borderId="10" xfId="0" applyNumberFormat="1" applyFont="1" applyFill="1" applyBorder="1" applyAlignment="1">
      <alignment horizontal="center" vertical="top"/>
    </xf>
    <xf numFmtId="0" fontId="44" fillId="0" borderId="21" xfId="0" applyFont="1" applyFill="1" applyBorder="1" applyAlignment="1">
      <alignment/>
    </xf>
    <xf numFmtId="4" fontId="44" fillId="0" borderId="10" xfId="0" applyNumberFormat="1" applyFont="1" applyFill="1" applyBorder="1" applyAlignment="1">
      <alignment vertical="top"/>
    </xf>
    <xf numFmtId="10" fontId="44" fillId="0" borderId="10" xfId="0" applyNumberFormat="1" applyFont="1" applyFill="1" applyBorder="1" applyAlignment="1">
      <alignment horizontal="center" vertical="top"/>
    </xf>
    <xf numFmtId="172" fontId="42" fillId="0" borderId="10" xfId="0" applyNumberFormat="1" applyFont="1" applyFill="1" applyBorder="1" applyAlignment="1">
      <alignment/>
    </xf>
    <xf numFmtId="172" fontId="42" fillId="34" borderId="10" xfId="0" applyNumberFormat="1" applyFont="1" applyFill="1" applyBorder="1" applyAlignment="1">
      <alignment/>
    </xf>
    <xf numFmtId="4" fontId="42" fillId="34" borderId="10" xfId="0" applyNumberFormat="1" applyFont="1" applyFill="1" applyBorder="1" applyAlignment="1">
      <alignment horizontal="center"/>
    </xf>
    <xf numFmtId="0" fontId="44" fillId="0" borderId="16" xfId="0" applyFont="1" applyFill="1" applyBorder="1" applyAlignment="1">
      <alignment/>
    </xf>
    <xf numFmtId="4" fontId="44" fillId="0" borderId="10" xfId="0" applyNumberFormat="1" applyFont="1" applyFill="1" applyBorder="1" applyAlignment="1">
      <alignment/>
    </xf>
    <xf numFmtId="0" fontId="42" fillId="0" borderId="16" xfId="0" applyFont="1" applyFill="1" applyBorder="1" applyAlignment="1">
      <alignment/>
    </xf>
    <xf numFmtId="172" fontId="44" fillId="0" borderId="10" xfId="0" applyNumberFormat="1" applyFont="1" applyFill="1" applyBorder="1" applyAlignment="1">
      <alignment/>
    </xf>
    <xf numFmtId="4" fontId="42" fillId="0" borderId="41" xfId="0" applyNumberFormat="1" applyFont="1" applyBorder="1" applyAlignment="1">
      <alignment/>
    </xf>
    <xf numFmtId="0" fontId="42" fillId="0" borderId="41" xfId="0" applyFont="1" applyBorder="1" applyAlignment="1">
      <alignment/>
    </xf>
    <xf numFmtId="0" fontId="44" fillId="0" borderId="44" xfId="0" applyFont="1" applyFill="1" applyBorder="1" applyAlignment="1">
      <alignment wrapText="1"/>
    </xf>
    <xf numFmtId="0" fontId="42" fillId="0" borderId="44" xfId="0" applyFont="1" applyFill="1" applyBorder="1" applyAlignment="1">
      <alignment wrapText="1"/>
    </xf>
    <xf numFmtId="171" fontId="42" fillId="0" borderId="44" xfId="0" applyNumberFormat="1" applyFont="1" applyFill="1" applyBorder="1" applyAlignment="1">
      <alignment horizontal="right" wrapText="1"/>
    </xf>
    <xf numFmtId="0" fontId="42" fillId="0" borderId="22"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0" fillId="0" borderId="0" xfId="0" applyFont="1" applyAlignment="1">
      <alignment horizontal="center" vertical="center"/>
    </xf>
    <xf numFmtId="0" fontId="42" fillId="0" borderId="16" xfId="0" applyFont="1" applyFill="1" applyBorder="1" applyAlignment="1">
      <alignment wrapText="1"/>
    </xf>
    <xf numFmtId="169" fontId="42" fillId="34" borderId="16" xfId="0" applyNumberFormat="1" applyFont="1" applyFill="1" applyBorder="1" applyAlignment="1">
      <alignment wrapText="1"/>
    </xf>
    <xf numFmtId="10" fontId="42" fillId="34" borderId="16" xfId="0" applyNumberFormat="1" applyFont="1" applyFill="1" applyBorder="1" applyAlignment="1">
      <alignment wrapText="1"/>
    </xf>
    <xf numFmtId="169" fontId="42" fillId="0" borderId="16" xfId="0" applyNumberFormat="1" applyFont="1" applyFill="1" applyBorder="1" applyAlignment="1">
      <alignment wrapText="1"/>
    </xf>
    <xf numFmtId="169" fontId="42" fillId="0" borderId="16" xfId="0" applyNumberFormat="1" applyFont="1" applyFill="1" applyBorder="1" applyAlignment="1" applyProtection="1">
      <alignment wrapText="1"/>
      <protection locked="0"/>
    </xf>
    <xf numFmtId="0" fontId="42" fillId="0" borderId="22" xfId="0" applyFont="1" applyFill="1" applyBorder="1" applyAlignment="1">
      <alignment wrapText="1"/>
    </xf>
    <xf numFmtId="169" fontId="42" fillId="0" borderId="22" xfId="0" applyNumberFormat="1" applyFont="1" applyFill="1" applyBorder="1" applyAlignment="1" applyProtection="1">
      <alignment wrapText="1"/>
      <protection locked="0"/>
    </xf>
    <xf numFmtId="10" fontId="42" fillId="34" borderId="22" xfId="0" applyNumberFormat="1" applyFont="1" applyFill="1" applyBorder="1" applyAlignment="1">
      <alignment wrapText="1"/>
    </xf>
    <xf numFmtId="0" fontId="46" fillId="0" borderId="22" xfId="0" applyFont="1" applyFill="1" applyBorder="1" applyAlignment="1">
      <alignment wrapText="1"/>
    </xf>
    <xf numFmtId="169" fontId="46" fillId="0" borderId="22" xfId="0" applyNumberFormat="1" applyFont="1" applyFill="1" applyBorder="1" applyAlignment="1" applyProtection="1">
      <alignment wrapText="1"/>
      <protection locked="0"/>
    </xf>
    <xf numFmtId="10" fontId="46" fillId="34" borderId="22" xfId="0" applyNumberFormat="1" applyFont="1" applyFill="1" applyBorder="1" applyAlignment="1">
      <alignment wrapText="1"/>
    </xf>
    <xf numFmtId="0" fontId="18" fillId="0" borderId="0" xfId="0" applyFont="1" applyAlignment="1">
      <alignment/>
    </xf>
    <xf numFmtId="0" fontId="44" fillId="0" borderId="22" xfId="0" applyFont="1" applyFill="1" applyBorder="1" applyAlignment="1">
      <alignment wrapText="1"/>
    </xf>
    <xf numFmtId="169" fontId="42" fillId="34" borderId="22" xfId="0" applyNumberFormat="1" applyFont="1" applyFill="1" applyBorder="1" applyAlignment="1">
      <alignment wrapText="1"/>
    </xf>
    <xf numFmtId="0" fontId="42" fillId="0" borderId="21" xfId="0" applyFont="1" applyFill="1" applyBorder="1" applyAlignment="1">
      <alignment horizontal="center" vertical="center" wrapText="1"/>
    </xf>
    <xf numFmtId="169" fontId="42" fillId="34" borderId="16" xfId="0" applyNumberFormat="1" applyFont="1" applyFill="1" applyBorder="1" applyAlignment="1" applyProtection="1">
      <alignment wrapText="1"/>
      <protection locked="0"/>
    </xf>
    <xf numFmtId="169" fontId="42" fillId="34" borderId="22" xfId="0" applyNumberFormat="1" applyFont="1" applyFill="1" applyBorder="1" applyAlignment="1" applyProtection="1">
      <alignment wrapText="1"/>
      <protection locked="0"/>
    </xf>
    <xf numFmtId="168" fontId="0" fillId="0" borderId="0" xfId="0" applyNumberFormat="1" applyFont="1" applyAlignment="1">
      <alignment/>
    </xf>
    <xf numFmtId="169" fontId="46" fillId="34" borderId="22" xfId="0" applyNumberFormat="1" applyFont="1" applyFill="1" applyBorder="1" applyAlignment="1">
      <alignment wrapText="1"/>
    </xf>
    <xf numFmtId="0" fontId="5" fillId="0" borderId="44" xfId="0" applyFont="1" applyFill="1" applyBorder="1" applyAlignment="1">
      <alignment vertical="top" wrapText="1"/>
    </xf>
    <xf numFmtId="0" fontId="0" fillId="0" borderId="44" xfId="0" applyFont="1" applyFill="1" applyBorder="1" applyAlignment="1">
      <alignment vertical="top" wrapText="1"/>
    </xf>
    <xf numFmtId="171" fontId="0" fillId="0" borderId="44" xfId="0" applyNumberFormat="1" applyFont="1" applyFill="1" applyBorder="1" applyAlignment="1">
      <alignment horizontal="right" vertical="top" wrapText="1"/>
    </xf>
    <xf numFmtId="0" fontId="5" fillId="34" borderId="22" xfId="0" applyNumberFormat="1"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168" fontId="0" fillId="36" borderId="16" xfId="0" applyNumberFormat="1" applyFont="1" applyFill="1" applyBorder="1" applyAlignment="1">
      <alignment horizontal="center" vertical="center" wrapText="1"/>
    </xf>
    <xf numFmtId="168" fontId="0" fillId="34" borderId="28" xfId="0" applyNumberFormat="1" applyFont="1" applyFill="1" applyBorder="1" applyAlignment="1">
      <alignment horizontal="right" vertical="center" wrapText="1"/>
    </xf>
    <xf numFmtId="0" fontId="0" fillId="0" borderId="0" xfId="0" applyNumberFormat="1" applyAlignment="1">
      <alignment vertical="top" wrapText="1"/>
    </xf>
    <xf numFmtId="168" fontId="0" fillId="34" borderId="16" xfId="0" applyNumberFormat="1" applyFont="1" applyFill="1" applyBorder="1" applyAlignment="1">
      <alignment vertical="top" wrapText="1"/>
    </xf>
    <xf numFmtId="168" fontId="0" fillId="34" borderId="16" xfId="0" applyNumberFormat="1" applyFont="1" applyFill="1" applyBorder="1" applyAlignment="1" applyProtection="1">
      <alignment vertical="top" wrapText="1"/>
      <protection locked="0"/>
    </xf>
    <xf numFmtId="168" fontId="0" fillId="34" borderId="22" xfId="0" applyNumberFormat="1" applyFont="1" applyFill="1" applyBorder="1" applyAlignment="1" applyProtection="1">
      <alignment vertical="top" wrapText="1"/>
      <protection locked="0"/>
    </xf>
    <xf numFmtId="168" fontId="0" fillId="34" borderId="19" xfId="0" applyNumberFormat="1" applyFont="1" applyFill="1" applyBorder="1" applyAlignment="1">
      <alignment vertical="top" wrapText="1"/>
    </xf>
    <xf numFmtId="0" fontId="0" fillId="34" borderId="16" xfId="0" applyFont="1" applyFill="1" applyBorder="1" applyAlignment="1">
      <alignment vertical="top" wrapText="1"/>
    </xf>
    <xf numFmtId="0" fontId="0" fillId="34" borderId="16" xfId="0" applyFont="1" applyFill="1" applyBorder="1" applyAlignment="1" applyProtection="1">
      <alignment vertical="top" wrapText="1"/>
      <protection locked="0"/>
    </xf>
    <xf numFmtId="0" fontId="0" fillId="34" borderId="27" xfId="0" applyFont="1" applyFill="1" applyBorder="1" applyAlignment="1" applyProtection="1">
      <alignment vertical="top" wrapText="1"/>
      <protection locked="0"/>
    </xf>
    <xf numFmtId="169" fontId="0" fillId="34" borderId="16" xfId="0" applyNumberFormat="1" applyFont="1" applyFill="1" applyBorder="1" applyAlignment="1">
      <alignment vertical="top" wrapText="1"/>
    </xf>
    <xf numFmtId="169" fontId="0" fillId="34" borderId="28" xfId="0" applyNumberFormat="1" applyFont="1" applyFill="1" applyBorder="1" applyAlignment="1">
      <alignment vertical="top" wrapText="1"/>
    </xf>
    <xf numFmtId="169" fontId="0" fillId="34" borderId="16" xfId="0" applyNumberFormat="1" applyFont="1" applyFill="1" applyBorder="1" applyAlignment="1" applyProtection="1">
      <alignment vertical="top" wrapText="1"/>
      <protection locked="0"/>
    </xf>
    <xf numFmtId="169" fontId="0" fillId="34" borderId="28" xfId="0" applyNumberFormat="1" applyFont="1" applyFill="1" applyBorder="1" applyAlignment="1" applyProtection="1">
      <alignment vertical="top" wrapText="1"/>
      <protection locked="0"/>
    </xf>
    <xf numFmtId="0" fontId="0" fillId="34" borderId="22" xfId="0" applyFont="1" applyFill="1" applyBorder="1" applyAlignment="1">
      <alignment vertical="top" wrapText="1"/>
    </xf>
    <xf numFmtId="169" fontId="0" fillId="34" borderId="22" xfId="0" applyNumberFormat="1" applyFont="1" applyFill="1" applyBorder="1" applyAlignment="1" applyProtection="1">
      <alignment vertical="top" wrapText="1"/>
      <protection locked="0"/>
    </xf>
    <xf numFmtId="169" fontId="0" fillId="34" borderId="19" xfId="0" applyNumberFormat="1" applyFont="1" applyFill="1" applyBorder="1" applyAlignment="1" applyProtection="1">
      <alignment vertical="top" wrapText="1"/>
      <protection locked="0"/>
    </xf>
    <xf numFmtId="0" fontId="5" fillId="34" borderId="22" xfId="0" applyFont="1" applyFill="1" applyBorder="1" applyAlignment="1">
      <alignment vertical="top" wrapText="1"/>
    </xf>
    <xf numFmtId="169" fontId="0" fillId="34" borderId="22" xfId="0" applyNumberFormat="1" applyFont="1" applyFill="1" applyBorder="1" applyAlignment="1">
      <alignment vertical="top" wrapText="1"/>
    </xf>
    <xf numFmtId="169" fontId="0" fillId="34" borderId="10" xfId="0" applyNumberFormat="1" applyFont="1" applyFill="1" applyBorder="1" applyAlignment="1">
      <alignment vertical="top" wrapText="1"/>
    </xf>
    <xf numFmtId="169" fontId="0" fillId="0" borderId="22" xfId="0" applyNumberFormat="1" applyFont="1" applyFill="1" applyBorder="1" applyAlignment="1">
      <alignment vertical="top" wrapText="1"/>
    </xf>
    <xf numFmtId="169" fontId="0" fillId="34" borderId="19" xfId="0" applyNumberFormat="1" applyFont="1" applyFill="1" applyBorder="1" applyAlignment="1">
      <alignment vertical="top" wrapText="1"/>
    </xf>
    <xf numFmtId="49" fontId="42" fillId="0" borderId="0" xfId="0" applyNumberFormat="1" applyFont="1" applyAlignment="1">
      <alignment/>
    </xf>
    <xf numFmtId="173" fontId="42" fillId="0" borderId="45" xfId="0" applyNumberFormat="1" applyFont="1" applyBorder="1" applyAlignment="1">
      <alignment horizontal="right"/>
    </xf>
    <xf numFmtId="0" fontId="44" fillId="33" borderId="22" xfId="0" applyFont="1" applyFill="1" applyBorder="1" applyAlignment="1">
      <alignment vertical="center"/>
    </xf>
    <xf numFmtId="0" fontId="44" fillId="33" borderId="46" xfId="0" applyFont="1" applyFill="1" applyBorder="1" applyAlignment="1">
      <alignment horizontal="center" vertical="center"/>
    </xf>
    <xf numFmtId="0" fontId="44" fillId="33" borderId="10" xfId="0" applyFont="1" applyFill="1" applyBorder="1" applyAlignment="1">
      <alignment horizontal="center" vertical="center" wrapText="1"/>
    </xf>
    <xf numFmtId="0" fontId="44" fillId="33" borderId="21" xfId="0" applyFont="1" applyFill="1" applyBorder="1" applyAlignment="1">
      <alignment horizontal="center" vertical="center" wrapText="1"/>
    </xf>
    <xf numFmtId="4" fontId="42" fillId="0" borderId="10" xfId="0" applyNumberFormat="1" applyFont="1" applyBorder="1" applyAlignment="1">
      <alignment horizontal="center"/>
    </xf>
    <xf numFmtId="4" fontId="42" fillId="0" borderId="43" xfId="0" applyNumberFormat="1" applyFont="1" applyBorder="1" applyAlignment="1">
      <alignment horizontal="center"/>
    </xf>
    <xf numFmtId="4" fontId="42" fillId="0" borderId="46" xfId="0" applyNumberFormat="1" applyFont="1" applyBorder="1" applyAlignment="1">
      <alignment horizontal="center"/>
    </xf>
    <xf numFmtId="0" fontId="42" fillId="0" borderId="0" xfId="0" applyFont="1" applyAlignment="1">
      <alignment horizontal="left" indent="1"/>
    </xf>
    <xf numFmtId="0" fontId="42" fillId="0" borderId="0" xfId="0" applyFont="1" applyAlignment="1">
      <alignment horizontal="left" indent="2"/>
    </xf>
    <xf numFmtId="0" fontId="42" fillId="0" borderId="0" xfId="0" applyFont="1" applyAlignment="1">
      <alignment horizontal="left" indent="3"/>
    </xf>
    <xf numFmtId="4" fontId="42" fillId="0" borderId="43" xfId="0" applyNumberFormat="1" applyFont="1" applyFill="1" applyBorder="1" applyAlignment="1">
      <alignment horizontal="center"/>
    </xf>
    <xf numFmtId="0" fontId="42" fillId="0" borderId="0" xfId="49" applyFont="1" applyAlignment="1">
      <alignment horizontal="left" wrapText="1" indent="2"/>
      <protection/>
    </xf>
    <xf numFmtId="0" fontId="44" fillId="33" borderId="26" xfId="0" applyFont="1" applyFill="1" applyBorder="1" applyAlignment="1">
      <alignment/>
    </xf>
    <xf numFmtId="4" fontId="42" fillId="33" borderId="10" xfId="0" applyNumberFormat="1" applyFont="1" applyFill="1" applyBorder="1" applyAlignment="1">
      <alignment horizontal="center" wrapText="1"/>
    </xf>
    <xf numFmtId="4" fontId="42" fillId="33" borderId="10" xfId="0" applyNumberFormat="1" applyFont="1" applyFill="1" applyBorder="1" applyAlignment="1">
      <alignment wrapText="1"/>
    </xf>
    <xf numFmtId="37" fontId="44" fillId="33" borderId="20" xfId="0" applyNumberFormat="1" applyFont="1" applyFill="1" applyBorder="1" applyAlignment="1">
      <alignment vertical="center"/>
    </xf>
    <xf numFmtId="0" fontId="44" fillId="33" borderId="46" xfId="0" applyNumberFormat="1" applyFont="1" applyFill="1" applyBorder="1" applyAlignment="1">
      <alignment horizontal="center" vertical="center" wrapText="1"/>
    </xf>
    <xf numFmtId="49" fontId="42" fillId="0" borderId="0" xfId="0" applyNumberFormat="1" applyFont="1" applyAlignment="1">
      <alignment horizontal="left" vertical="center" indent="2"/>
    </xf>
    <xf numFmtId="0" fontId="42" fillId="0" borderId="27" xfId="0" applyFont="1" applyBorder="1" applyAlignment="1">
      <alignment horizontal="center"/>
    </xf>
    <xf numFmtId="0" fontId="42" fillId="0" borderId="43" xfId="0" applyFont="1" applyBorder="1" applyAlignment="1">
      <alignment horizontal="center"/>
    </xf>
    <xf numFmtId="0" fontId="42" fillId="0" borderId="46" xfId="0" applyFont="1" applyBorder="1" applyAlignment="1">
      <alignment horizontal="center"/>
    </xf>
    <xf numFmtId="49" fontId="42" fillId="0" borderId="0" xfId="0" applyNumberFormat="1" applyFont="1" applyAlignment="1">
      <alignment horizontal="left" vertical="center" indent="1"/>
    </xf>
    <xf numFmtId="0" fontId="42" fillId="0" borderId="46" xfId="0" applyFont="1" applyFill="1" applyBorder="1" applyAlignment="1">
      <alignment horizontal="center"/>
    </xf>
    <xf numFmtId="49" fontId="44" fillId="33" borderId="26" xfId="0" applyNumberFormat="1" applyFont="1" applyFill="1" applyBorder="1" applyAlignment="1">
      <alignment vertical="center"/>
    </xf>
    <xf numFmtId="4" fontId="42" fillId="33" borderId="10" xfId="0" applyNumberFormat="1" applyFont="1" applyFill="1" applyBorder="1" applyAlignment="1">
      <alignment horizontal="center" vertical="center" wrapText="1"/>
    </xf>
    <xf numFmtId="4" fontId="42" fillId="33" borderId="46" xfId="0" applyNumberFormat="1" applyFont="1" applyFill="1" applyBorder="1" applyAlignment="1">
      <alignment vertical="center" wrapText="1"/>
    </xf>
    <xf numFmtId="4" fontId="42" fillId="33" borderId="46" xfId="0" applyNumberFormat="1" applyFont="1" applyFill="1" applyBorder="1" applyAlignment="1">
      <alignment horizontal="center" vertical="center" wrapText="1"/>
    </xf>
    <xf numFmtId="49" fontId="42" fillId="0" borderId="26" xfId="0" applyNumberFormat="1" applyFont="1" applyBorder="1" applyAlignment="1">
      <alignment vertical="center"/>
    </xf>
    <xf numFmtId="37" fontId="44" fillId="0" borderId="26" xfId="0" applyNumberFormat="1" applyFont="1" applyBorder="1" applyAlignment="1">
      <alignment/>
    </xf>
    <xf numFmtId="0" fontId="42" fillId="0" borderId="21" xfId="0" applyFont="1" applyBorder="1" applyAlignment="1">
      <alignment vertical="center" wrapText="1"/>
    </xf>
    <xf numFmtId="49" fontId="44" fillId="33" borderId="20" xfId="0" applyNumberFormat="1" applyFont="1" applyFill="1" applyBorder="1" applyAlignment="1">
      <alignment horizontal="justify" vertical="center"/>
    </xf>
    <xf numFmtId="49" fontId="44" fillId="0" borderId="0" xfId="0" applyNumberFormat="1" applyFont="1" applyAlignment="1">
      <alignment horizontal="justify" vertical="center"/>
    </xf>
    <xf numFmtId="37" fontId="42" fillId="0" borderId="0" xfId="0" applyNumberFormat="1" applyFont="1" applyAlignment="1">
      <alignment horizontal="center"/>
    </xf>
    <xf numFmtId="0" fontId="42" fillId="0" borderId="0" xfId="0" applyFont="1" applyAlignment="1">
      <alignment horizontal="center" vertical="center" wrapText="1"/>
    </xf>
    <xf numFmtId="0" fontId="44" fillId="33" borderId="20" xfId="0" applyFont="1" applyFill="1" applyBorder="1" applyAlignment="1">
      <alignment vertical="center" wrapText="1"/>
    </xf>
    <xf numFmtId="0" fontId="44" fillId="33" borderId="26" xfId="0" applyNumberFormat="1" applyFont="1" applyFill="1" applyBorder="1" applyAlignment="1">
      <alignment horizontal="center" vertical="center" wrapText="1"/>
    </xf>
    <xf numFmtId="0" fontId="44" fillId="0" borderId="0" xfId="0" applyFont="1" applyAlignment="1">
      <alignment horizontal="left" wrapText="1"/>
    </xf>
    <xf numFmtId="0" fontId="42" fillId="0" borderId="0" xfId="0" applyFont="1" applyAlignment="1">
      <alignment horizontal="left"/>
    </xf>
    <xf numFmtId="0" fontId="42" fillId="0" borderId="22" xfId="0" applyFont="1" applyBorder="1" applyAlignment="1">
      <alignment vertical="top" wrapText="1"/>
    </xf>
    <xf numFmtId="0" fontId="42" fillId="0" borderId="0" xfId="0" applyFont="1" applyAlignment="1">
      <alignment vertical="top" wrapText="1"/>
    </xf>
    <xf numFmtId="0" fontId="42" fillId="0" borderId="0" xfId="0" applyFont="1" applyAlignment="1">
      <alignment vertical="center" wrapText="1"/>
    </xf>
    <xf numFmtId="0" fontId="44" fillId="33" borderId="46" xfId="0" applyNumberFormat="1" applyFont="1" applyFill="1" applyBorder="1" applyAlignment="1">
      <alignment horizontal="center" wrapText="1"/>
    </xf>
    <xf numFmtId="0" fontId="44" fillId="33" borderId="26" xfId="0" applyNumberFormat="1" applyFont="1" applyFill="1" applyBorder="1" applyAlignment="1">
      <alignment horizontal="center" wrapText="1"/>
    </xf>
    <xf numFmtId="4" fontId="42" fillId="0" borderId="10" xfId="0" applyNumberFormat="1" applyFont="1" applyFill="1" applyBorder="1" applyAlignment="1">
      <alignment horizontal="center"/>
    </xf>
    <xf numFmtId="37" fontId="42" fillId="0" borderId="0" xfId="0" applyNumberFormat="1" applyFont="1" applyAlignment="1">
      <alignment vertical="center"/>
    </xf>
    <xf numFmtId="37" fontId="42" fillId="0" borderId="0" xfId="0" applyNumberFormat="1" applyFont="1" applyAlignment="1">
      <alignment/>
    </xf>
    <xf numFmtId="0" fontId="44" fillId="33" borderId="27" xfId="0" applyNumberFormat="1" applyFont="1" applyFill="1" applyBorder="1" applyAlignment="1">
      <alignment horizontal="center" vertical="center"/>
    </xf>
    <xf numFmtId="0" fontId="44" fillId="33" borderId="26" xfId="0" applyNumberFormat="1" applyFont="1" applyFill="1" applyBorder="1" applyAlignment="1">
      <alignment horizontal="center" vertical="center"/>
    </xf>
    <xf numFmtId="0" fontId="42" fillId="0" borderId="0" xfId="0" applyFont="1" applyAlignment="1">
      <alignment horizontal="left" vertical="top" wrapText="1"/>
    </xf>
    <xf numFmtId="0" fontId="42" fillId="0" borderId="16" xfId="0" applyFont="1" applyBorder="1" applyAlignment="1">
      <alignment horizontal="left" vertical="top" wrapText="1"/>
    </xf>
    <xf numFmtId="0" fontId="42" fillId="0" borderId="10" xfId="0" applyFont="1" applyBorder="1" applyAlignment="1">
      <alignment horizontal="center" vertical="top" wrapText="1"/>
    </xf>
    <xf numFmtId="0" fontId="42" fillId="0" borderId="10" xfId="0" applyFont="1" applyBorder="1" applyAlignment="1">
      <alignment horizontal="right" vertical="top" wrapText="1"/>
    </xf>
    <xf numFmtId="0" fontId="42" fillId="0" borderId="22" xfId="0" applyFont="1" applyBorder="1" applyAlignment="1">
      <alignment horizontal="justify" vertical="top" wrapText="1"/>
    </xf>
    <xf numFmtId="0" fontId="42" fillId="0" borderId="0" xfId="0" applyFont="1" applyAlignment="1">
      <alignment horizontal="center" vertical="top" wrapText="1"/>
    </xf>
    <xf numFmtId="0" fontId="44" fillId="33" borderId="41" xfId="0" applyFont="1" applyFill="1" applyBorder="1" applyAlignment="1">
      <alignment vertical="center" wrapText="1"/>
    </xf>
    <xf numFmtId="0" fontId="44" fillId="33" borderId="43" xfId="0" applyNumberFormat="1" applyFont="1" applyFill="1" applyBorder="1" applyAlignment="1">
      <alignment horizontal="center" vertical="center" wrapText="1"/>
    </xf>
    <xf numFmtId="0" fontId="42" fillId="0" borderId="41" xfId="0" applyFont="1" applyBorder="1" applyAlignment="1">
      <alignment wrapText="1"/>
    </xf>
    <xf numFmtId="0" fontId="42" fillId="0" borderId="10" xfId="0" applyFont="1" applyBorder="1" applyAlignment="1">
      <alignment horizontal="center" wrapText="1"/>
    </xf>
    <xf numFmtId="0" fontId="42" fillId="0" borderId="10" xfId="0" applyFont="1" applyBorder="1" applyAlignment="1">
      <alignment wrapText="1"/>
    </xf>
    <xf numFmtId="0" fontId="42" fillId="0" borderId="0" xfId="0" applyFont="1" applyAlignment="1">
      <alignment wrapText="1"/>
    </xf>
    <xf numFmtId="0" fontId="42" fillId="0" borderId="22" xfId="0" applyFont="1" applyBorder="1" applyAlignment="1">
      <alignment wrapText="1"/>
    </xf>
    <xf numFmtId="0" fontId="42" fillId="0" borderId="0" xfId="0" applyFont="1" applyAlignment="1">
      <alignment vertical="top"/>
    </xf>
    <xf numFmtId="37" fontId="42" fillId="0" borderId="0" xfId="0" applyNumberFormat="1" applyFont="1" applyAlignment="1">
      <alignment vertical="center" wrapText="1"/>
    </xf>
    <xf numFmtId="0" fontId="42" fillId="0" borderId="0" xfId="0" applyFont="1" applyAlignment="1">
      <alignment horizontal="right" vertical="top" wrapText="1"/>
    </xf>
    <xf numFmtId="0" fontId="44" fillId="33" borderId="46" xfId="0" applyNumberFormat="1" applyFont="1" applyFill="1" applyBorder="1" applyAlignment="1">
      <alignment horizontal="center" vertical="center"/>
    </xf>
    <xf numFmtId="0" fontId="42" fillId="0" borderId="43" xfId="0" applyFont="1" applyBorder="1" applyAlignment="1">
      <alignment horizontal="center" vertical="top" wrapText="1"/>
    </xf>
    <xf numFmtId="37" fontId="42" fillId="33" borderId="46" xfId="0" applyNumberFormat="1" applyFont="1" applyFill="1" applyBorder="1" applyAlignment="1">
      <alignment horizontal="center" vertical="center"/>
    </xf>
    <xf numFmtId="0" fontId="42" fillId="33" borderId="46" xfId="0" applyFont="1" applyFill="1" applyBorder="1" applyAlignment="1">
      <alignment horizontal="center" vertical="center"/>
    </xf>
    <xf numFmtId="37" fontId="44" fillId="33" borderId="46" xfId="0" applyNumberFormat="1" applyFont="1" applyFill="1" applyBorder="1" applyAlignment="1">
      <alignment horizontal="center"/>
    </xf>
    <xf numFmtId="0" fontId="42" fillId="0" borderId="42" xfId="0" applyFont="1" applyBorder="1" applyAlignment="1">
      <alignment horizontal="center" vertical="top" wrapText="1"/>
    </xf>
    <xf numFmtId="0" fontId="42" fillId="0" borderId="42" xfId="0" applyFont="1" applyBorder="1" applyAlignment="1">
      <alignment horizontal="right" vertical="top" wrapText="1"/>
    </xf>
    <xf numFmtId="0" fontId="42" fillId="0" borderId="47" xfId="0" applyFont="1" applyBorder="1" applyAlignment="1">
      <alignment horizontal="right" vertical="top" wrapText="1"/>
    </xf>
    <xf numFmtId="49" fontId="44" fillId="33" borderId="20" xfId="49" applyNumberFormat="1" applyFont="1" applyFill="1" applyBorder="1" applyAlignment="1">
      <alignment horizontal="justify" vertical="center"/>
      <protection/>
    </xf>
    <xf numFmtId="0" fontId="42" fillId="0" borderId="0" xfId="49" applyFont="1" applyAlignment="1">
      <alignment wrapText="1"/>
      <protection/>
    </xf>
    <xf numFmtId="0" fontId="44" fillId="0" borderId="48" xfId="0" applyFont="1" applyFill="1" applyBorder="1" applyAlignment="1">
      <alignment horizontal="left"/>
    </xf>
    <xf numFmtId="0" fontId="42" fillId="0" borderId="49" xfId="0" applyFont="1" applyFill="1" applyBorder="1" applyAlignment="1">
      <alignment horizontal="left" wrapText="1"/>
    </xf>
    <xf numFmtId="0" fontId="42" fillId="0" borderId="29" xfId="0" applyFont="1" applyFill="1" applyBorder="1" applyAlignment="1">
      <alignment horizontal="left" wrapText="1"/>
    </xf>
    <xf numFmtId="171" fontId="42" fillId="0" borderId="50" xfId="0" applyNumberFormat="1" applyFont="1" applyFill="1" applyBorder="1" applyAlignment="1">
      <alignment horizontal="right" wrapText="1"/>
    </xf>
    <xf numFmtId="0" fontId="42" fillId="0" borderId="0" xfId="0" applyFont="1" applyFill="1" applyAlignment="1">
      <alignment horizontal="center" vertical="center"/>
    </xf>
    <xf numFmtId="0" fontId="44" fillId="0" borderId="20" xfId="0" applyNumberFormat="1" applyFont="1" applyFill="1" applyBorder="1" applyAlignment="1">
      <alignment horizontal="center" vertical="top" wrapText="1"/>
    </xf>
    <xf numFmtId="0" fontId="42" fillId="0" borderId="20" xfId="0" applyNumberFormat="1" applyFont="1" applyFill="1" applyBorder="1" applyAlignment="1">
      <alignment horizontal="center" vertical="top" wrapText="1"/>
    </xf>
    <xf numFmtId="0" fontId="0" fillId="0" borderId="16" xfId="49" applyFont="1" applyBorder="1" applyAlignment="1">
      <alignment horizontal="center" vertical="center" wrapText="1"/>
      <protection/>
    </xf>
    <xf numFmtId="169" fontId="0" fillId="0" borderId="39" xfId="49" applyNumberFormat="1" applyBorder="1" applyAlignment="1">
      <alignment horizontal="center" vertical="center" wrapText="1"/>
      <protection/>
    </xf>
    <xf numFmtId="169" fontId="42" fillId="34" borderId="39" xfId="0" applyNumberFormat="1" applyFont="1" applyFill="1" applyBorder="1" applyAlignment="1">
      <alignment wrapText="1"/>
    </xf>
    <xf numFmtId="0" fontId="42" fillId="0" borderId="39" xfId="0" applyFont="1" applyFill="1" applyBorder="1" applyAlignment="1">
      <alignment horizontal="center" wrapText="1"/>
    </xf>
    <xf numFmtId="0" fontId="0" fillId="0" borderId="16" xfId="49" applyFont="1" applyBorder="1" applyAlignment="1">
      <alignment horizontal="center" vertical="top" wrapText="1"/>
      <protection/>
    </xf>
    <xf numFmtId="0" fontId="42" fillId="0" borderId="10" xfId="0" applyFont="1" applyFill="1" applyBorder="1" applyAlignment="1">
      <alignment horizontal="center" wrapText="1"/>
    </xf>
    <xf numFmtId="0" fontId="42" fillId="0" borderId="10" xfId="0" applyFont="1" applyFill="1" applyBorder="1" applyAlignment="1">
      <alignment horizontal="left" wrapText="1"/>
    </xf>
    <xf numFmtId="0" fontId="42" fillId="0" borderId="10" xfId="0" applyFont="1" applyBorder="1" applyAlignment="1">
      <alignment/>
    </xf>
    <xf numFmtId="10" fontId="42" fillId="0" borderId="10" xfId="0" applyNumberFormat="1" applyFont="1" applyBorder="1" applyAlignment="1">
      <alignment/>
    </xf>
    <xf numFmtId="10" fontId="42" fillId="0" borderId="0" xfId="0" applyNumberFormat="1" applyFont="1" applyAlignment="1">
      <alignment/>
    </xf>
    <xf numFmtId="0" fontId="42" fillId="0" borderId="0" xfId="0" applyFont="1" applyAlignment="1">
      <alignment horizontal="center" vertical="center"/>
    </xf>
    <xf numFmtId="0" fontId="44" fillId="0" borderId="16" xfId="0" applyFont="1" applyFill="1" applyBorder="1" applyAlignment="1">
      <alignment vertical="top" wrapText="1"/>
    </xf>
    <xf numFmtId="169" fontId="44" fillId="34" borderId="28" xfId="0" applyNumberFormat="1" applyFont="1" applyFill="1" applyBorder="1" applyAlignment="1">
      <alignment vertical="top" wrapText="1"/>
    </xf>
    <xf numFmtId="0" fontId="42" fillId="0" borderId="16" xfId="0" applyFont="1" applyFill="1" applyBorder="1" applyAlignment="1">
      <alignment vertical="top" wrapText="1"/>
    </xf>
    <xf numFmtId="169" fontId="42" fillId="34" borderId="28" xfId="0" applyNumberFormat="1" applyFont="1" applyFill="1" applyBorder="1" applyAlignment="1">
      <alignment vertical="top" wrapText="1"/>
    </xf>
    <xf numFmtId="0" fontId="42" fillId="0" borderId="22" xfId="0" applyFont="1" applyFill="1" applyBorder="1" applyAlignment="1">
      <alignment vertical="top" wrapText="1"/>
    </xf>
    <xf numFmtId="0" fontId="44" fillId="0" borderId="22" xfId="0" applyFont="1" applyFill="1" applyBorder="1" applyAlignment="1">
      <alignment vertical="top" wrapText="1"/>
    </xf>
    <xf numFmtId="169" fontId="44" fillId="34" borderId="19" xfId="0" applyNumberFormat="1" applyFont="1" applyFill="1" applyBorder="1" applyAlignment="1">
      <alignment vertical="top" wrapText="1"/>
    </xf>
    <xf numFmtId="169" fontId="42" fillId="34" borderId="19" xfId="0" applyNumberFormat="1" applyFont="1" applyFill="1" applyBorder="1" applyAlignment="1">
      <alignment vertical="top" wrapText="1"/>
    </xf>
    <xf numFmtId="169" fontId="48" fillId="34" borderId="19" xfId="0" applyNumberFormat="1" applyFont="1" applyFill="1" applyBorder="1" applyAlignment="1">
      <alignment horizontal="right" vertical="top" wrapText="1"/>
    </xf>
    <xf numFmtId="0" fontId="44" fillId="0" borderId="0" xfId="0" applyFont="1" applyAlignment="1">
      <alignment/>
    </xf>
    <xf numFmtId="169" fontId="42" fillId="0" borderId="10" xfId="0" applyNumberFormat="1" applyFont="1" applyFill="1" applyBorder="1" applyAlignment="1">
      <alignment horizontal="justify" vertical="top" wrapText="1"/>
    </xf>
    <xf numFmtId="0" fontId="42" fillId="0" borderId="10" xfId="0" applyFont="1" applyFill="1" applyBorder="1" applyAlignment="1">
      <alignment horizontal="justify" vertical="top" wrapText="1"/>
    </xf>
    <xf numFmtId="0" fontId="0" fillId="0" borderId="10" xfId="0" applyFont="1" applyFill="1" applyBorder="1" applyAlignment="1">
      <alignment horizontal="justify" vertical="top" wrapText="1"/>
    </xf>
    <xf numFmtId="0" fontId="44" fillId="0" borderId="27" xfId="0" applyFont="1" applyFill="1" applyBorder="1" applyAlignment="1">
      <alignment horizontal="left" wrapText="1"/>
    </xf>
    <xf numFmtId="169" fontId="44" fillId="0" borderId="27" xfId="0" applyNumberFormat="1" applyFont="1" applyFill="1" applyBorder="1" applyAlignment="1">
      <alignment horizontal="justify" vertical="top" wrapText="1"/>
    </xf>
    <xf numFmtId="0" fontId="44" fillId="0" borderId="10" xfId="0" applyFont="1" applyFill="1" applyBorder="1" applyAlignment="1">
      <alignment horizontal="left" wrapText="1"/>
    </xf>
    <xf numFmtId="169" fontId="44" fillId="0" borderId="10" xfId="0" applyNumberFormat="1" applyFont="1" applyFill="1" applyBorder="1" applyAlignment="1">
      <alignment horizontal="justify" vertical="top" wrapText="1"/>
    </xf>
    <xf numFmtId="0" fontId="0" fillId="0" borderId="10" xfId="49" applyFont="1" applyBorder="1" applyAlignment="1">
      <alignment horizontal="justify" vertical="top" wrapText="1"/>
      <protection/>
    </xf>
    <xf numFmtId="0" fontId="2" fillId="0" borderId="10" xfId="49" applyFont="1" applyBorder="1" applyAlignment="1">
      <alignment vertical="top" wrapText="1"/>
      <protection/>
    </xf>
    <xf numFmtId="0" fontId="2" fillId="0" borderId="39" xfId="49" applyFont="1" applyFill="1" applyBorder="1" applyAlignment="1">
      <alignment vertical="top" wrapText="1"/>
      <protection/>
    </xf>
    <xf numFmtId="174" fontId="0" fillId="0" borderId="39" xfId="0" applyNumberFormat="1" applyBorder="1" applyAlignment="1">
      <alignment/>
    </xf>
    <xf numFmtId="174" fontId="0" fillId="0" borderId="0" xfId="0" applyNumberFormat="1" applyAlignment="1">
      <alignment/>
    </xf>
    <xf numFmtId="0" fontId="2" fillId="0" borderId="39" xfId="51" applyFont="1" applyFill="1" applyBorder="1">
      <alignment/>
      <protection/>
    </xf>
    <xf numFmtId="0" fontId="2" fillId="0" borderId="39" xfId="49" applyFont="1" applyFill="1" applyBorder="1">
      <alignment/>
      <protection/>
    </xf>
    <xf numFmtId="0" fontId="50" fillId="0" borderId="10" xfId="49" applyFont="1" applyBorder="1">
      <alignment/>
      <protection/>
    </xf>
    <xf numFmtId="0" fontId="0" fillId="0" borderId="10" xfId="49" applyFont="1" applyBorder="1">
      <alignment/>
      <protection/>
    </xf>
    <xf numFmtId="0" fontId="2" fillId="0" borderId="42" xfId="49" applyFont="1" applyBorder="1" applyAlignment="1">
      <alignment vertical="top" wrapText="1"/>
      <protection/>
    </xf>
    <xf numFmtId="174" fontId="4" fillId="37" borderId="39" xfId="0" applyNumberFormat="1" applyFont="1" applyFill="1" applyBorder="1" applyAlignment="1">
      <alignment horizontal="center" vertical="top" wrapText="1"/>
    </xf>
    <xf numFmtId="0" fontId="50" fillId="0" borderId="42" xfId="0" applyFont="1" applyBorder="1" applyAlignment="1">
      <alignment/>
    </xf>
    <xf numFmtId="0" fontId="50" fillId="0" borderId="0" xfId="0" applyFont="1" applyAlignment="1">
      <alignment/>
    </xf>
    <xf numFmtId="0" fontId="0" fillId="0" borderId="51" xfId="0" applyBorder="1" applyAlignment="1">
      <alignment/>
    </xf>
    <xf numFmtId="0" fontId="0" fillId="0" borderId="0" xfId="0" applyBorder="1" applyAlignment="1">
      <alignment/>
    </xf>
    <xf numFmtId="0" fontId="42" fillId="0" borderId="52" xfId="0" applyFont="1" applyBorder="1" applyAlignment="1">
      <alignment horizontal="center" wrapText="1"/>
    </xf>
    <xf numFmtId="0" fontId="0" fillId="0" borderId="0" xfId="50">
      <alignment/>
      <protection/>
    </xf>
    <xf numFmtId="175" fontId="0" fillId="0" borderId="52" xfId="50" applyNumberFormat="1" applyBorder="1" applyAlignment="1">
      <alignment horizontal="center" wrapText="1"/>
      <protection/>
    </xf>
    <xf numFmtId="176" fontId="0" fillId="0" borderId="52" xfId="50" applyNumberFormat="1" applyBorder="1" applyAlignment="1">
      <alignment wrapText="1"/>
      <protection/>
    </xf>
    <xf numFmtId="10" fontId="0" fillId="0" borderId="52" xfId="50" applyNumberFormat="1" applyBorder="1" applyAlignment="1">
      <alignment horizontal="center" wrapText="1"/>
      <protection/>
    </xf>
    <xf numFmtId="176" fontId="0" fillId="0" borderId="39" xfId="50" applyNumberFormat="1" applyBorder="1" applyAlignment="1">
      <alignment wrapText="1"/>
      <protection/>
    </xf>
    <xf numFmtId="176" fontId="0" fillId="0" borderId="53" xfId="50" applyNumberFormat="1" applyBorder="1" applyAlignment="1">
      <alignment horizontal="center" wrapText="1"/>
      <protection/>
    </xf>
    <xf numFmtId="0" fontId="0" fillId="0" borderId="54" xfId="50" applyBorder="1">
      <alignment/>
      <protection/>
    </xf>
    <xf numFmtId="14" fontId="0" fillId="0" borderId="52" xfId="50" applyNumberFormat="1" applyFont="1" applyFill="1" applyBorder="1" applyAlignment="1">
      <alignment horizontal="center" wrapText="1"/>
      <protection/>
    </xf>
    <xf numFmtId="176" fontId="0" fillId="0" borderId="52" xfId="50" applyNumberFormat="1" applyFont="1" applyFill="1" applyBorder="1" applyAlignment="1">
      <alignment horizontal="right" wrapText="1"/>
      <protection/>
    </xf>
    <xf numFmtId="10" fontId="0" fillId="0" borderId="52" xfId="50" applyNumberFormat="1" applyFont="1" applyFill="1" applyBorder="1" applyAlignment="1">
      <alignment horizontal="center" wrapText="1"/>
      <protection/>
    </xf>
    <xf numFmtId="176" fontId="0" fillId="0" borderId="55" xfId="50" applyNumberFormat="1" applyFont="1" applyFill="1" applyBorder="1" applyAlignment="1">
      <alignment horizontal="right" wrapText="1"/>
      <protection/>
    </xf>
    <xf numFmtId="176" fontId="0" fillId="0" borderId="53" xfId="50" applyNumberFormat="1" applyFont="1" applyFill="1" applyBorder="1" applyAlignment="1">
      <alignment horizontal="right" wrapText="1"/>
      <protection/>
    </xf>
    <xf numFmtId="4" fontId="0" fillId="0" borderId="54" xfId="50" applyNumberFormat="1" applyFont="1" applyFill="1" applyBorder="1">
      <alignment/>
      <protection/>
    </xf>
    <xf numFmtId="14" fontId="0" fillId="0" borderId="52" xfId="50" applyNumberFormat="1" applyFill="1" applyBorder="1" applyAlignment="1">
      <alignment horizontal="center" wrapText="1"/>
      <protection/>
    </xf>
    <xf numFmtId="176" fontId="0" fillId="0" borderId="52" xfId="50" applyNumberFormat="1" applyFill="1" applyBorder="1" applyAlignment="1">
      <alignment horizontal="right" wrapText="1"/>
      <protection/>
    </xf>
    <xf numFmtId="10" fontId="0" fillId="0" borderId="52" xfId="50" applyNumberFormat="1" applyFill="1" applyBorder="1" applyAlignment="1">
      <alignment horizontal="center" wrapText="1"/>
      <protection/>
    </xf>
    <xf numFmtId="176" fontId="0" fillId="0" borderId="55" xfId="50" applyNumberFormat="1" applyFill="1" applyBorder="1" applyAlignment="1">
      <alignment horizontal="right" wrapText="1"/>
      <protection/>
    </xf>
    <xf numFmtId="176" fontId="0" fillId="0" borderId="53" xfId="50" applyNumberFormat="1" applyFill="1" applyBorder="1" applyAlignment="1">
      <alignment horizontal="right" wrapText="1"/>
      <protection/>
    </xf>
    <xf numFmtId="4" fontId="0" fillId="0" borderId="54" xfId="50" applyNumberFormat="1" applyFill="1" applyBorder="1">
      <alignment/>
      <protection/>
    </xf>
    <xf numFmtId="176" fontId="0" fillId="0" borderId="54" xfId="50" applyNumberFormat="1" applyFill="1" applyBorder="1" applyAlignment="1">
      <alignment horizontal="right" wrapText="1"/>
      <protection/>
    </xf>
    <xf numFmtId="176" fontId="0" fillId="0" borderId="56" xfId="50" applyNumberFormat="1" applyFill="1" applyBorder="1" applyAlignment="1">
      <alignment horizontal="right" wrapText="1"/>
      <protection/>
    </xf>
    <xf numFmtId="0" fontId="42" fillId="0" borderId="0" xfId="0" applyFont="1" applyAlignment="1">
      <alignment horizontal="center"/>
    </xf>
    <xf numFmtId="0" fontId="0" fillId="0" borderId="52" xfId="50" applyBorder="1" applyAlignment="1">
      <alignment horizontal="center" wrapText="1"/>
      <protection/>
    </xf>
    <xf numFmtId="0" fontId="0" fillId="0" borderId="52" xfId="50" applyFill="1" applyBorder="1" applyAlignment="1">
      <alignment horizontal="center" wrapText="1"/>
      <protection/>
    </xf>
    <xf numFmtId="176" fontId="0" fillId="0" borderId="52" xfId="50" applyNumberFormat="1" applyBorder="1" applyAlignment="1">
      <alignment horizontal="right" wrapText="1"/>
      <protection/>
    </xf>
    <xf numFmtId="176" fontId="0" fillId="0" borderId="53" xfId="50" applyNumberFormat="1" applyBorder="1" applyAlignment="1">
      <alignment horizontal="right" wrapText="1"/>
      <protection/>
    </xf>
    <xf numFmtId="176" fontId="0" fillId="0" borderId="55" xfId="50" applyNumberFormat="1" applyBorder="1" applyAlignment="1">
      <alignment horizontal="right" wrapText="1"/>
      <protection/>
    </xf>
    <xf numFmtId="4" fontId="0" fillId="0" borderId="54" xfId="50" applyNumberFormat="1" applyBorder="1">
      <alignment/>
      <protection/>
    </xf>
    <xf numFmtId="176" fontId="0" fillId="0" borderId="56" xfId="50" applyNumberFormat="1" applyBorder="1" applyAlignment="1">
      <alignment horizontal="right" wrapText="1"/>
      <protection/>
    </xf>
    <xf numFmtId="0" fontId="0" fillId="0" borderId="52" xfId="50" applyFont="1" applyFill="1" applyBorder="1" applyAlignment="1">
      <alignment horizontal="center" wrapText="1"/>
      <protection/>
    </xf>
    <xf numFmtId="176" fontId="0" fillId="0" borderId="54" xfId="50" applyNumberFormat="1" applyBorder="1" applyAlignment="1">
      <alignment horizontal="right" wrapText="1"/>
      <protection/>
    </xf>
    <xf numFmtId="0" fontId="0" fillId="0" borderId="52" xfId="50" applyFont="1" applyBorder="1" applyAlignment="1">
      <alignment horizontal="center" wrapText="1"/>
      <protection/>
    </xf>
    <xf numFmtId="176" fontId="0" fillId="0" borderId="52" xfId="50" applyNumberFormat="1" applyFont="1" applyBorder="1" applyAlignment="1">
      <alignment horizontal="right" wrapText="1"/>
      <protection/>
    </xf>
    <xf numFmtId="10" fontId="0" fillId="0" borderId="52" xfId="50" applyNumberFormat="1" applyFont="1" applyBorder="1" applyAlignment="1">
      <alignment horizontal="center" wrapText="1"/>
      <protection/>
    </xf>
    <xf numFmtId="176" fontId="6" fillId="0" borderId="52" xfId="50" applyNumberFormat="1" applyFont="1" applyBorder="1" applyAlignment="1">
      <alignment horizontal="right" wrapText="1"/>
      <protection/>
    </xf>
    <xf numFmtId="14" fontId="0" fillId="0" borderId="52" xfId="50" applyNumberFormat="1" applyBorder="1" applyAlignment="1">
      <alignment horizontal="center" wrapText="1"/>
      <protection/>
    </xf>
    <xf numFmtId="176" fontId="0" fillId="35" borderId="52" xfId="50" applyNumberFormat="1" applyFill="1" applyBorder="1" applyAlignment="1">
      <alignment horizontal="right" wrapText="1"/>
      <protection/>
    </xf>
    <xf numFmtId="176" fontId="0" fillId="35" borderId="55" xfId="50" applyNumberFormat="1" applyFill="1" applyBorder="1" applyAlignment="1">
      <alignment horizontal="right" wrapText="1"/>
      <protection/>
    </xf>
    <xf numFmtId="0" fontId="4" fillId="37" borderId="57" xfId="0" applyFont="1" applyFill="1" applyBorder="1" applyAlignment="1">
      <alignment horizontal="center" vertical="top" wrapText="1"/>
    </xf>
    <xf numFmtId="0" fontId="4" fillId="37" borderId="0" xfId="0" applyFont="1" applyFill="1" applyBorder="1" applyAlignment="1">
      <alignment horizontal="center" vertical="top" wrapText="1"/>
    </xf>
    <xf numFmtId="0" fontId="4" fillId="37" borderId="45" xfId="0" applyFont="1" applyFill="1" applyBorder="1" applyAlignment="1">
      <alignment horizontal="center" vertical="top" wrapText="1"/>
    </xf>
    <xf numFmtId="174" fontId="0" fillId="0" borderId="58" xfId="0" applyNumberFormat="1" applyBorder="1" applyAlignment="1">
      <alignment/>
    </xf>
    <xf numFmtId="0" fontId="4" fillId="37" borderId="59" xfId="0" applyFont="1" applyFill="1" applyBorder="1" applyAlignment="1">
      <alignment horizontal="center" vertical="top" wrapText="1"/>
    </xf>
    <xf numFmtId="0" fontId="4" fillId="37" borderId="60" xfId="0" applyFont="1" applyFill="1" applyBorder="1" applyAlignment="1">
      <alignment horizontal="center" vertical="top" wrapText="1"/>
    </xf>
    <xf numFmtId="0" fontId="4" fillId="37" borderId="61" xfId="0" applyFont="1" applyFill="1" applyBorder="1" applyAlignment="1">
      <alignment horizontal="center" vertical="top" wrapText="1"/>
    </xf>
    <xf numFmtId="168" fontId="0" fillId="36" borderId="11" xfId="0" applyNumberFormat="1" applyFont="1" applyFill="1" applyBorder="1" applyAlignment="1">
      <alignment horizontal="center" vertical="center" wrapText="1"/>
    </xf>
    <xf numFmtId="168" fontId="0" fillId="34" borderId="22" xfId="0" applyNumberFormat="1" applyFont="1" applyFill="1" applyBorder="1" applyAlignment="1">
      <alignment vertical="top" wrapText="1"/>
    </xf>
    <xf numFmtId="0" fontId="5" fillId="34" borderId="62" xfId="0" applyFont="1" applyFill="1" applyBorder="1" applyAlignment="1">
      <alignment horizontal="center" vertical="center" wrapText="1"/>
    </xf>
    <xf numFmtId="0" fontId="0" fillId="34" borderId="63" xfId="0" applyFont="1" applyFill="1" applyBorder="1" applyAlignment="1">
      <alignment horizontal="left" vertical="center" wrapText="1"/>
    </xf>
    <xf numFmtId="0" fontId="0" fillId="34" borderId="63" xfId="0" applyFont="1" applyFill="1" applyBorder="1" applyAlignment="1">
      <alignment vertical="top" wrapText="1"/>
    </xf>
    <xf numFmtId="0" fontId="5" fillId="34" borderId="64" xfId="0" applyFont="1" applyFill="1" applyBorder="1" applyAlignment="1">
      <alignment vertical="top" wrapText="1"/>
    </xf>
    <xf numFmtId="38" fontId="2" fillId="0" borderId="65" xfId="0" applyNumberFormat="1" applyFont="1" applyBorder="1" applyAlignment="1">
      <alignment horizontal="center"/>
    </xf>
    <xf numFmtId="0" fontId="2" fillId="0" borderId="65" xfId="0" applyFont="1" applyBorder="1" applyAlignment="1">
      <alignment horizontal="center"/>
    </xf>
    <xf numFmtId="0" fontId="3" fillId="0" borderId="66" xfId="0" applyFont="1" applyBorder="1" applyAlignment="1">
      <alignment horizontal="center"/>
    </xf>
    <xf numFmtId="0" fontId="10" fillId="0" borderId="0" xfId="0" applyFont="1" applyBorder="1" applyAlignment="1">
      <alignment/>
    </xf>
    <xf numFmtId="38" fontId="12" fillId="0" borderId="0" xfId="0" applyNumberFormat="1" applyFont="1" applyBorder="1" applyAlignment="1" applyProtection="1">
      <alignment horizontal="center"/>
      <protection locked="0"/>
    </xf>
    <xf numFmtId="38" fontId="12" fillId="0" borderId="0" xfId="0" applyNumberFormat="1" applyFont="1" applyBorder="1" applyAlignment="1" applyProtection="1">
      <alignment horizontal="center"/>
      <protection locked="0"/>
    </xf>
    <xf numFmtId="0" fontId="13" fillId="0" borderId="0" xfId="0" applyFont="1" applyBorder="1" applyAlignment="1" applyProtection="1">
      <alignment horizontal="center"/>
      <protection locked="0"/>
    </xf>
    <xf numFmtId="0" fontId="5" fillId="35" borderId="10" xfId="0" applyNumberFormat="1" applyFont="1" applyFill="1" applyBorder="1" applyAlignment="1" applyProtection="1">
      <alignment horizontal="center" vertical="center"/>
      <protection locked="0"/>
    </xf>
    <xf numFmtId="0" fontId="18" fillId="35" borderId="10" xfId="0" applyNumberFormat="1" applyFont="1" applyFill="1" applyBorder="1" applyAlignment="1" applyProtection="1">
      <alignment horizontal="center" vertical="center" wrapText="1"/>
      <protection locked="0"/>
    </xf>
    <xf numFmtId="38" fontId="12"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0" fontId="12" fillId="0" borderId="0" xfId="0" applyFont="1" applyBorder="1" applyAlignment="1" applyProtection="1">
      <alignment horizontal="center"/>
      <protection locked="0"/>
    </xf>
    <xf numFmtId="0" fontId="12" fillId="35" borderId="10" xfId="0" applyNumberFormat="1" applyFont="1" applyFill="1" applyBorder="1" applyAlignment="1" applyProtection="1">
      <alignment horizontal="center" vertical="center"/>
      <protection locked="0"/>
    </xf>
    <xf numFmtId="165" fontId="12" fillId="35" borderId="10" xfId="0" applyNumberFormat="1" applyFont="1" applyFill="1" applyBorder="1" applyAlignment="1">
      <alignment horizontal="center" vertical="center"/>
    </xf>
    <xf numFmtId="0" fontId="12" fillId="35" borderId="10" xfId="0" applyFont="1" applyFill="1" applyBorder="1" applyAlignment="1">
      <alignment horizontal="center"/>
    </xf>
    <xf numFmtId="0" fontId="16" fillId="35" borderId="10" xfId="0" applyFont="1" applyFill="1" applyBorder="1" applyAlignment="1">
      <alignment horizontal="center"/>
    </xf>
    <xf numFmtId="38" fontId="16" fillId="0" borderId="0" xfId="0" applyNumberFormat="1" applyFont="1" applyBorder="1" applyAlignment="1" applyProtection="1">
      <alignment horizontal="left" wrapText="1"/>
      <protection locked="0"/>
    </xf>
    <xf numFmtId="38" fontId="32" fillId="0" borderId="0" xfId="0" applyNumberFormat="1"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32" fillId="0" borderId="21" xfId="0" applyFont="1" applyFill="1" applyBorder="1" applyAlignment="1" applyProtection="1">
      <alignment horizontal="center" vertical="center"/>
      <protection/>
    </xf>
    <xf numFmtId="49" fontId="32" fillId="34" borderId="26" xfId="0" applyNumberFormat="1" applyFont="1" applyFill="1" applyBorder="1" applyAlignment="1" applyProtection="1">
      <alignment horizontal="center" vertical="center" wrapText="1"/>
      <protection/>
    </xf>
    <xf numFmtId="0" fontId="32" fillId="34" borderId="26" xfId="0" applyFont="1" applyFill="1" applyBorder="1" applyAlignment="1" applyProtection="1">
      <alignment horizontal="center" vertical="center" wrapText="1"/>
      <protection/>
    </xf>
    <xf numFmtId="38" fontId="32" fillId="34" borderId="0" xfId="0" applyNumberFormat="1" applyFont="1" applyFill="1" applyBorder="1" applyAlignment="1" applyProtection="1">
      <alignment horizontal="center" vertical="center"/>
      <protection/>
    </xf>
    <xf numFmtId="0" fontId="32" fillId="34" borderId="0" xfId="0" applyNumberFormat="1" applyFont="1" applyFill="1" applyBorder="1" applyAlignment="1" applyProtection="1">
      <alignment horizontal="center" vertical="center" wrapText="1"/>
      <protection/>
    </xf>
    <xf numFmtId="0" fontId="34" fillId="34" borderId="21" xfId="0" applyFont="1" applyFill="1" applyBorder="1" applyAlignment="1">
      <alignment horizontal="center" wrapText="1"/>
    </xf>
    <xf numFmtId="0" fontId="32" fillId="34" borderId="26" xfId="65" applyNumberFormat="1" applyFont="1" applyFill="1" applyBorder="1" applyAlignment="1" applyProtection="1">
      <alignment horizontal="center" vertical="center"/>
      <protection/>
    </xf>
    <xf numFmtId="0" fontId="9" fillId="0" borderId="10" xfId="0" applyFont="1" applyBorder="1" applyAlignment="1">
      <alignment wrapText="1"/>
    </xf>
    <xf numFmtId="0" fontId="9" fillId="0" borderId="10" xfId="0" applyFont="1" applyBorder="1" applyAlignment="1">
      <alignment horizontal="left" vertical="center" wrapText="1"/>
    </xf>
    <xf numFmtId="0" fontId="9" fillId="0" borderId="39" xfId="0" applyFont="1" applyBorder="1" applyAlignment="1">
      <alignment horizontal="left" vertical="center"/>
    </xf>
    <xf numFmtId="38" fontId="37" fillId="0" borderId="65" xfId="0" applyNumberFormat="1" applyFont="1" applyBorder="1" applyAlignment="1">
      <alignment horizontal="center"/>
    </xf>
    <xf numFmtId="0" fontId="37" fillId="0" borderId="65" xfId="0" applyNumberFormat="1" applyFont="1" applyBorder="1" applyAlignment="1">
      <alignment horizontal="center"/>
    </xf>
    <xf numFmtId="0" fontId="38" fillId="0" borderId="65" xfId="0" applyFont="1" applyBorder="1" applyAlignment="1">
      <alignment horizontal="center"/>
    </xf>
    <xf numFmtId="0" fontId="39" fillId="0" borderId="10" xfId="0" applyFont="1" applyFill="1" applyBorder="1" applyAlignment="1">
      <alignment horizontal="center" vertical="center" wrapText="1"/>
    </xf>
    <xf numFmtId="0" fontId="39" fillId="0" borderId="10" xfId="0" applyFont="1" applyFill="1" applyBorder="1" applyAlignment="1">
      <alignment horizontal="center"/>
    </xf>
    <xf numFmtId="10" fontId="45" fillId="0" borderId="46" xfId="49" applyNumberFormat="1" applyFont="1" applyFill="1" applyBorder="1" applyAlignment="1">
      <alignment horizontal="center" vertical="center" textRotation="90" wrapText="1"/>
      <protection/>
    </xf>
    <xf numFmtId="38" fontId="42" fillId="0" borderId="65" xfId="49" applyNumberFormat="1" applyFont="1" applyBorder="1" applyAlignment="1">
      <alignment horizontal="center"/>
      <protection/>
    </xf>
    <xf numFmtId="0" fontId="42" fillId="0" borderId="65" xfId="49" applyFont="1" applyBorder="1" applyAlignment="1">
      <alignment horizontal="center"/>
      <protection/>
    </xf>
    <xf numFmtId="0" fontId="42" fillId="0" borderId="44" xfId="49" applyFont="1" applyBorder="1" applyAlignment="1">
      <alignment horizontal="left" wrapText="1"/>
      <protection/>
    </xf>
    <xf numFmtId="171" fontId="42" fillId="0" borderId="67" xfId="49" applyNumberFormat="1" applyFont="1" applyBorder="1" applyAlignment="1">
      <alignment horizontal="right" wrapText="1"/>
      <protection/>
    </xf>
    <xf numFmtId="0" fontId="42" fillId="0" borderId="10" xfId="49" applyFont="1" applyFill="1" applyBorder="1" applyAlignment="1">
      <alignment wrapText="1"/>
      <protection/>
    </xf>
    <xf numFmtId="0" fontId="44" fillId="0" borderId="10" xfId="49" applyFont="1" applyBorder="1" applyAlignment="1">
      <alignment horizontal="left" wrapText="1"/>
      <protection/>
    </xf>
    <xf numFmtId="0" fontId="44" fillId="0" borderId="10" xfId="49" applyFont="1" applyBorder="1" applyAlignment="1">
      <alignment wrapText="1"/>
      <protection/>
    </xf>
    <xf numFmtId="0" fontId="44" fillId="0" borderId="20" xfId="49" applyFont="1" applyFill="1" applyBorder="1" applyAlignment="1">
      <alignment horizontal="center" vertical="center" wrapText="1"/>
      <protection/>
    </xf>
    <xf numFmtId="0" fontId="44" fillId="0" borderId="10" xfId="49" applyNumberFormat="1" applyFont="1" applyFill="1" applyBorder="1" applyAlignment="1">
      <alignment horizontal="center" vertical="center" wrapText="1"/>
      <protection/>
    </xf>
    <xf numFmtId="10" fontId="43" fillId="34" borderId="43" xfId="49" applyNumberFormat="1" applyFont="1" applyFill="1" applyBorder="1" applyAlignment="1">
      <alignment horizontal="center" vertical="center" textRotation="90" wrapText="1"/>
      <protection/>
    </xf>
    <xf numFmtId="0" fontId="44" fillId="0" borderId="10" xfId="49" applyFont="1" applyBorder="1" applyAlignment="1">
      <alignment vertical="top" wrapText="1"/>
      <protection/>
    </xf>
    <xf numFmtId="38" fontId="42" fillId="0" borderId="65" xfId="0" applyNumberFormat="1" applyFont="1" applyBorder="1" applyAlignment="1">
      <alignment horizontal="center"/>
    </xf>
    <xf numFmtId="0" fontId="42" fillId="0" borderId="65" xfId="0" applyFont="1" applyBorder="1" applyAlignment="1">
      <alignment horizontal="center"/>
    </xf>
    <xf numFmtId="0" fontId="44" fillId="0" borderId="65" xfId="0" applyFont="1" applyBorder="1" applyAlignment="1">
      <alignment horizontal="center"/>
    </xf>
    <xf numFmtId="0" fontId="42" fillId="0" borderId="44" xfId="0" applyFont="1" applyBorder="1" applyAlignment="1">
      <alignment horizontal="justify"/>
    </xf>
    <xf numFmtId="171" fontId="42" fillId="0" borderId="44" xfId="0" applyNumberFormat="1" applyFont="1" applyBorder="1" applyAlignment="1">
      <alignment horizontal="right" wrapText="1"/>
    </xf>
    <xf numFmtId="0" fontId="44" fillId="0" borderId="10" xfId="0" applyFont="1" applyFill="1" applyBorder="1" applyAlignment="1">
      <alignment horizontal="center" vertical="center" wrapText="1"/>
    </xf>
    <xf numFmtId="10" fontId="42" fillId="0" borderId="10" xfId="49" applyNumberFormat="1" applyFont="1" applyFill="1" applyBorder="1" applyAlignment="1">
      <alignment wrapText="1"/>
      <protection/>
    </xf>
    <xf numFmtId="168" fontId="42" fillId="0" borderId="10" xfId="49" applyNumberFormat="1" applyFont="1" applyFill="1" applyBorder="1" applyAlignment="1">
      <alignment wrapText="1"/>
      <protection/>
    </xf>
    <xf numFmtId="10" fontId="42" fillId="0" borderId="10" xfId="0" applyNumberFormat="1" applyFont="1" applyFill="1" applyBorder="1" applyAlignment="1">
      <alignment horizontal="center" vertical="center" textRotation="90" wrapText="1"/>
    </xf>
    <xf numFmtId="10" fontId="42" fillId="34" borderId="10" xfId="0" applyNumberFormat="1" applyFont="1" applyFill="1" applyBorder="1" applyAlignment="1">
      <alignment horizontal="center" vertical="center" textRotation="90" wrapText="1"/>
    </xf>
    <xf numFmtId="0" fontId="42" fillId="0" borderId="10" xfId="0" applyFont="1" applyFill="1" applyBorder="1" applyAlignment="1">
      <alignment wrapText="1"/>
    </xf>
    <xf numFmtId="0" fontId="42" fillId="0" borderId="10" xfId="0" applyFont="1" applyFill="1" applyBorder="1" applyAlignment="1">
      <alignment horizontal="left" vertical="center" wrapText="1"/>
    </xf>
    <xf numFmtId="0" fontId="44" fillId="33" borderId="10" xfId="49" applyFont="1" applyFill="1" applyBorder="1" applyAlignment="1">
      <alignment horizontal="center" vertical="center" wrapText="1"/>
      <protection/>
    </xf>
    <xf numFmtId="0" fontId="44" fillId="0" borderId="46" xfId="0" applyFont="1" applyFill="1" applyBorder="1" applyAlignment="1">
      <alignment horizontal="center"/>
    </xf>
    <xf numFmtId="0" fontId="44" fillId="0" borderId="0" xfId="49" applyFont="1" applyBorder="1" applyAlignment="1">
      <alignment horizontal="left" wrapText="1"/>
      <protection/>
    </xf>
    <xf numFmtId="38" fontId="42" fillId="0" borderId="0" xfId="0" applyNumberFormat="1" applyFont="1" applyFill="1" applyBorder="1" applyAlignment="1">
      <alignment horizontal="center"/>
    </xf>
    <xf numFmtId="0" fontId="42" fillId="0" borderId="0" xfId="0" applyFont="1" applyFill="1" applyBorder="1" applyAlignment="1">
      <alignment horizontal="center"/>
    </xf>
    <xf numFmtId="0" fontId="44" fillId="0" borderId="0" xfId="0" applyFont="1" applyFill="1" applyBorder="1" applyAlignment="1">
      <alignment horizontal="center"/>
    </xf>
    <xf numFmtId="0" fontId="42" fillId="0" borderId="21" xfId="0" applyFont="1" applyFill="1" applyBorder="1" applyAlignment="1">
      <alignment horizontal="left" vertical="top" wrapText="1"/>
    </xf>
    <xf numFmtId="0" fontId="44" fillId="0" borderId="44" xfId="0" applyFont="1" applyFill="1" applyBorder="1" applyAlignment="1">
      <alignment wrapText="1"/>
    </xf>
    <xf numFmtId="0" fontId="42" fillId="0" borderId="26" xfId="0" applyFont="1" applyFill="1" applyBorder="1" applyAlignment="1">
      <alignment wrapText="1"/>
    </xf>
    <xf numFmtId="0" fontId="44" fillId="0" borderId="26" xfId="0" applyFont="1" applyFill="1" applyBorder="1" applyAlignment="1">
      <alignment horizontal="center" wrapText="1"/>
    </xf>
    <xf numFmtId="0" fontId="42" fillId="0" borderId="41" xfId="0" applyFont="1" applyFill="1" applyBorder="1" applyAlignment="1">
      <alignment horizontal="left"/>
    </xf>
    <xf numFmtId="0" fontId="42" fillId="0" borderId="41" xfId="0" applyFont="1" applyFill="1" applyBorder="1" applyAlignment="1">
      <alignment wrapText="1"/>
    </xf>
    <xf numFmtId="38" fontId="42" fillId="0" borderId="65" xfId="0" applyNumberFormat="1" applyFont="1" applyFill="1" applyBorder="1" applyAlignment="1">
      <alignment horizontal="center"/>
    </xf>
    <xf numFmtId="0" fontId="42" fillId="0" borderId="65" xfId="0" applyFont="1" applyFill="1" applyBorder="1" applyAlignment="1">
      <alignment horizontal="center"/>
    </xf>
    <xf numFmtId="0" fontId="44" fillId="0" borderId="65" xfId="0" applyFont="1" applyFill="1" applyBorder="1" applyAlignment="1">
      <alignment horizontal="center"/>
    </xf>
    <xf numFmtId="38" fontId="0" fillId="0" borderId="65" xfId="0" applyNumberFormat="1" applyFont="1" applyFill="1" applyBorder="1" applyAlignment="1">
      <alignment horizontal="center"/>
    </xf>
    <xf numFmtId="0" fontId="0" fillId="0" borderId="65" xfId="0" applyFont="1" applyFill="1" applyBorder="1" applyAlignment="1">
      <alignment horizontal="center"/>
    </xf>
    <xf numFmtId="0" fontId="5" fillId="0" borderId="65" xfId="0" applyFont="1" applyFill="1" applyBorder="1" applyAlignment="1">
      <alignment horizontal="center"/>
    </xf>
    <xf numFmtId="0" fontId="0" fillId="0" borderId="41" xfId="0" applyFont="1" applyBorder="1" applyAlignment="1">
      <alignment horizontal="left"/>
    </xf>
    <xf numFmtId="0" fontId="0" fillId="34" borderId="26" xfId="0" applyFont="1" applyFill="1" applyBorder="1" applyAlignment="1">
      <alignment vertical="top" wrapText="1"/>
    </xf>
    <xf numFmtId="0" fontId="5" fillId="34" borderId="20" xfId="0"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0" fontId="0" fillId="34" borderId="20" xfId="0" applyFont="1" applyFill="1" applyBorder="1" applyAlignment="1">
      <alignment horizontal="left" vertical="top" wrapText="1"/>
    </xf>
    <xf numFmtId="38" fontId="42" fillId="0" borderId="0" xfId="0" applyNumberFormat="1" applyFont="1" applyBorder="1" applyAlignment="1">
      <alignment horizontal="center"/>
    </xf>
    <xf numFmtId="0" fontId="42" fillId="0" borderId="0" xfId="0" applyFont="1" applyBorder="1" applyAlignment="1">
      <alignment horizontal="center"/>
    </xf>
    <xf numFmtId="0" fontId="44" fillId="0" borderId="0" xfId="0" applyFont="1" applyBorder="1" applyAlignment="1">
      <alignment horizontal="center"/>
    </xf>
    <xf numFmtId="0" fontId="42" fillId="0" borderId="45" xfId="0" applyFont="1" applyBorder="1" applyAlignment="1">
      <alignment horizontal="left" vertical="center"/>
    </xf>
    <xf numFmtId="0" fontId="44" fillId="33" borderId="45" xfId="0" applyFont="1" applyFill="1" applyBorder="1" applyAlignment="1">
      <alignment horizontal="center" vertical="center"/>
    </xf>
    <xf numFmtId="0" fontId="44" fillId="34" borderId="68" xfId="0" applyFont="1" applyFill="1" applyBorder="1" applyAlignment="1">
      <alignment horizontal="center" vertical="center" wrapText="1"/>
    </xf>
    <xf numFmtId="0" fontId="42" fillId="0" borderId="46" xfId="0" applyFont="1" applyBorder="1" applyAlignment="1">
      <alignment horizontal="center" vertical="top" wrapText="1"/>
    </xf>
    <xf numFmtId="0" fontId="44" fillId="33" borderId="69" xfId="0" applyFont="1" applyFill="1" applyBorder="1" applyAlignment="1">
      <alignment horizontal="center" vertical="center"/>
    </xf>
    <xf numFmtId="0" fontId="42" fillId="0" borderId="0" xfId="49" applyFont="1" applyBorder="1" applyAlignment="1">
      <alignment horizontal="left" wrapText="1"/>
      <protection/>
    </xf>
    <xf numFmtId="0" fontId="42" fillId="0" borderId="20" xfId="0" applyFont="1" applyFill="1" applyBorder="1" applyAlignment="1">
      <alignment wrapText="1"/>
    </xf>
    <xf numFmtId="0" fontId="0" fillId="0" borderId="41" xfId="49" applyFont="1" applyBorder="1" applyAlignment="1">
      <alignment horizontal="left" vertical="center"/>
      <protection/>
    </xf>
    <xf numFmtId="0" fontId="42" fillId="0" borderId="10" xfId="0" applyFont="1" applyFill="1" applyBorder="1" applyAlignment="1">
      <alignment horizontal="left" wrapText="1"/>
    </xf>
    <xf numFmtId="0" fontId="42" fillId="0" borderId="20" xfId="0" applyFont="1" applyFill="1" applyBorder="1" applyAlignment="1">
      <alignment horizontal="center" vertical="center" wrapText="1"/>
    </xf>
    <xf numFmtId="0" fontId="42" fillId="0" borderId="46"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39" xfId="0" applyFont="1" applyFill="1" applyBorder="1" applyAlignment="1">
      <alignment horizontal="center" wrapText="1"/>
    </xf>
    <xf numFmtId="0" fontId="44" fillId="0" borderId="41" xfId="0" applyFont="1" applyFill="1" applyBorder="1" applyAlignment="1">
      <alignment horizontal="left"/>
    </xf>
    <xf numFmtId="0" fontId="46" fillId="0" borderId="65" xfId="0" applyFont="1" applyFill="1" applyBorder="1" applyAlignment="1">
      <alignment horizontal="center"/>
    </xf>
    <xf numFmtId="38" fontId="42" fillId="0" borderId="0" xfId="0" applyNumberFormat="1" applyFont="1" applyFill="1" applyBorder="1" applyAlignment="1">
      <alignment horizontal="center" wrapText="1"/>
    </xf>
    <xf numFmtId="0" fontId="42" fillId="0" borderId="0" xfId="0" applyFont="1" applyFill="1" applyBorder="1" applyAlignment="1">
      <alignment horizontal="center" wrapText="1"/>
    </xf>
    <xf numFmtId="0" fontId="44" fillId="0" borderId="0" xfId="0" applyFont="1" applyFill="1" applyBorder="1" applyAlignment="1">
      <alignment horizontal="center" wrapText="1"/>
    </xf>
    <xf numFmtId="0" fontId="42" fillId="0" borderId="0" xfId="0" applyFont="1" applyFill="1" applyBorder="1" applyAlignment="1">
      <alignment horizontal="justify" wrapText="1"/>
    </xf>
    <xf numFmtId="0" fontId="42" fillId="0" borderId="0" xfId="0" applyFont="1" applyBorder="1" applyAlignment="1">
      <alignment horizontal="justify" wrapText="1"/>
    </xf>
    <xf numFmtId="171" fontId="42" fillId="0" borderId="0" xfId="0" applyNumberFormat="1" applyFont="1" applyBorder="1" applyAlignment="1">
      <alignment horizontal="right" wrapText="1"/>
    </xf>
    <xf numFmtId="0" fontId="44" fillId="0" borderId="10" xfId="0" applyFont="1" applyFill="1" applyBorder="1" applyAlignment="1">
      <alignment horizontal="center" wrapText="1"/>
    </xf>
    <xf numFmtId="0" fontId="0" fillId="0" borderId="20" xfId="49" applyFont="1" applyFill="1" applyBorder="1" applyAlignment="1">
      <alignment horizontal="center" wrapText="1"/>
      <protection/>
    </xf>
    <xf numFmtId="0" fontId="44" fillId="0" borderId="19" xfId="0" applyFont="1" applyFill="1" applyBorder="1" applyAlignment="1">
      <alignment horizontal="center" wrapText="1"/>
    </xf>
    <xf numFmtId="0" fontId="4" fillId="0" borderId="70" xfId="0" applyFont="1" applyBorder="1" applyAlignment="1">
      <alignment horizontal="center"/>
    </xf>
    <xf numFmtId="0" fontId="4" fillId="0" borderId="71" xfId="0" applyFont="1" applyBorder="1" applyAlignment="1">
      <alignment horizontal="center"/>
    </xf>
    <xf numFmtId="0" fontId="4" fillId="37" borderId="54" xfId="0" applyFont="1" applyFill="1" applyBorder="1" applyAlignment="1">
      <alignment horizontal="center" vertical="top" wrapText="1"/>
    </xf>
    <xf numFmtId="0" fontId="4" fillId="37" borderId="72" xfId="0" applyFont="1" applyFill="1" applyBorder="1" applyAlignment="1">
      <alignment horizontal="left" vertical="center" wrapText="1"/>
    </xf>
    <xf numFmtId="0" fontId="5" fillId="0" borderId="39" xfId="0" applyFont="1" applyBorder="1" applyAlignment="1">
      <alignment horizontal="center" vertical="center"/>
    </xf>
    <xf numFmtId="0" fontId="5" fillId="0" borderId="73" xfId="0" applyFont="1" applyBorder="1" applyAlignment="1">
      <alignment horizontal="center" vertical="center"/>
    </xf>
    <xf numFmtId="0" fontId="5" fillId="0" borderId="18" xfId="0" applyFont="1" applyBorder="1" applyAlignment="1">
      <alignment horizontal="center" vertical="center"/>
    </xf>
    <xf numFmtId="0" fontId="5" fillId="0" borderId="58" xfId="0" applyFont="1" applyBorder="1" applyAlignment="1">
      <alignment horizontal="center" vertical="center"/>
    </xf>
    <xf numFmtId="0" fontId="42" fillId="0" borderId="54" xfId="0" applyFont="1" applyBorder="1" applyAlignment="1">
      <alignment wrapText="1"/>
    </xf>
    <xf numFmtId="0" fontId="44" fillId="0" borderId="54" xfId="0" applyFont="1" applyBorder="1" applyAlignment="1">
      <alignment horizontal="center" wrapText="1"/>
    </xf>
    <xf numFmtId="0" fontId="44" fillId="34" borderId="54" xfId="0" applyFont="1" applyFill="1" applyBorder="1" applyAlignment="1">
      <alignment horizontal="center" wrapText="1"/>
    </xf>
    <xf numFmtId="0" fontId="44" fillId="34" borderId="70" xfId="0" applyFont="1" applyFill="1" applyBorder="1" applyAlignment="1">
      <alignment horizontal="center" wrapText="1"/>
    </xf>
    <xf numFmtId="0" fontId="44" fillId="0" borderId="39" xfId="0" applyFont="1" applyBorder="1" applyAlignment="1">
      <alignment horizontal="center" vertical="center"/>
    </xf>
    <xf numFmtId="0" fontId="0" fillId="0" borderId="54" xfId="50" applyFont="1" applyBorder="1" applyAlignment="1">
      <alignment horizontal="center" vertical="center" textRotation="90"/>
      <protection/>
    </xf>
    <xf numFmtId="0" fontId="0" fillId="0" borderId="52" xfId="50" applyBorder="1" applyAlignment="1">
      <alignment wrapText="1"/>
      <protection/>
    </xf>
    <xf numFmtId="176" fontId="0" fillId="0" borderId="53" xfId="50" applyNumberFormat="1" applyBorder="1" applyAlignment="1">
      <alignment horizontal="center" wrapText="1"/>
      <protection/>
    </xf>
    <xf numFmtId="0" fontId="0" fillId="0" borderId="56" xfId="50" applyFont="1" applyFill="1" applyBorder="1" applyAlignment="1">
      <alignment wrapText="1"/>
      <protection/>
    </xf>
    <xf numFmtId="176" fontId="0" fillId="0" borderId="53" xfId="50" applyNumberFormat="1" applyFont="1" applyFill="1" applyBorder="1" applyAlignment="1">
      <alignment horizontal="right" wrapText="1"/>
      <protection/>
    </xf>
    <xf numFmtId="176" fontId="0" fillId="0" borderId="53" xfId="50" applyNumberFormat="1" applyFill="1" applyBorder="1" applyAlignment="1">
      <alignment horizontal="right" wrapText="1"/>
      <protection/>
    </xf>
    <xf numFmtId="176" fontId="0" fillId="0" borderId="54" xfId="50" applyNumberFormat="1" applyFill="1" applyBorder="1" applyAlignment="1">
      <alignment horizontal="right" wrapText="1"/>
      <protection/>
    </xf>
    <xf numFmtId="0" fontId="0" fillId="0" borderId="54" xfId="50" applyFont="1" applyFill="1" applyBorder="1" applyAlignment="1">
      <alignment wrapText="1"/>
      <protection/>
    </xf>
    <xf numFmtId="0" fontId="0" fillId="0" borderId="54" xfId="50" applyFont="1" applyFill="1" applyBorder="1" applyAlignment="1">
      <alignment horizontal="left" wrapText="1"/>
      <protection/>
    </xf>
    <xf numFmtId="176" fontId="0" fillId="0" borderId="53" xfId="50" applyNumberFormat="1" applyFill="1" applyBorder="1" applyAlignment="1">
      <alignment horizontal="center" wrapText="1"/>
      <protection/>
    </xf>
    <xf numFmtId="176" fontId="0" fillId="0" borderId="54" xfId="50" applyNumberFormat="1" applyFill="1" applyBorder="1" applyAlignment="1">
      <alignment horizontal="center" wrapText="1"/>
      <protection/>
    </xf>
    <xf numFmtId="0" fontId="0" fillId="0" borderId="54" xfId="50" applyFont="1" applyBorder="1" applyAlignment="1">
      <alignment wrapText="1"/>
      <protection/>
    </xf>
    <xf numFmtId="0" fontId="0" fillId="0" borderId="56" xfId="50" applyFont="1" applyBorder="1" applyAlignment="1">
      <alignment wrapText="1"/>
      <protection/>
    </xf>
    <xf numFmtId="176" fontId="0" fillId="0" borderId="54" xfId="50" applyNumberFormat="1" applyBorder="1" applyAlignment="1">
      <alignment horizontal="center" wrapText="1"/>
      <protection/>
    </xf>
    <xf numFmtId="0" fontId="0" fillId="0" borderId="54" xfId="50" applyFont="1" applyBorder="1" applyAlignment="1">
      <alignment horizontal="left" wrapText="1"/>
      <protection/>
    </xf>
    <xf numFmtId="176" fontId="0" fillId="0" borderId="53" xfId="50" applyNumberFormat="1" applyBorder="1" applyAlignment="1">
      <alignment horizontal="right" wrapText="1"/>
      <protection/>
    </xf>
    <xf numFmtId="0" fontId="0" fillId="0" borderId="54" xfId="50" applyFont="1" applyFill="1" applyBorder="1" applyAlignment="1">
      <alignment horizontal="center" vertical="center" textRotation="90"/>
      <protection/>
    </xf>
    <xf numFmtId="0" fontId="0" fillId="0" borderId="54" xfId="50" applyFill="1" applyBorder="1" applyAlignment="1">
      <alignment horizontal="center" wrapText="1"/>
      <protection/>
    </xf>
    <xf numFmtId="0" fontId="0" fillId="0" borderId="74" xfId="50" applyFont="1" applyBorder="1" applyAlignment="1">
      <alignment horizontal="center" vertical="center" textRotation="90"/>
      <protection/>
    </xf>
    <xf numFmtId="176" fontId="0" fillId="0" borderId="54" xfId="50" applyNumberFormat="1" applyFont="1" applyFill="1" applyBorder="1" applyAlignment="1">
      <alignment horizontal="center" wrapText="1"/>
      <protection/>
    </xf>
    <xf numFmtId="176" fontId="0" fillId="0" borderId="54" xfId="50" applyNumberFormat="1" applyBorder="1" applyAlignment="1">
      <alignment horizontal="right" wrapText="1"/>
      <protection/>
    </xf>
    <xf numFmtId="0" fontId="0" fillId="0" borderId="70" xfId="50" applyFont="1" applyBorder="1" applyAlignment="1">
      <alignment horizontal="center" vertical="center" textRotation="90"/>
      <protection/>
    </xf>
    <xf numFmtId="176" fontId="0" fillId="0" borderId="54" xfId="50" applyNumberFormat="1" applyFont="1" applyFill="1" applyBorder="1" applyAlignment="1">
      <alignment horizontal="right" wrapText="1"/>
      <protection/>
    </xf>
    <xf numFmtId="0" fontId="0" fillId="0" borderId="75" xfId="50" applyFont="1" applyBorder="1" applyAlignment="1">
      <alignment horizontal="center" vertical="center" textRotation="90"/>
      <protection/>
    </xf>
    <xf numFmtId="0" fontId="0" fillId="0" borderId="56" xfId="50" applyBorder="1" applyAlignment="1">
      <alignment horizontal="center" wrapText="1"/>
      <protection/>
    </xf>
    <xf numFmtId="0" fontId="0" fillId="0" borderId="54" xfId="50" applyBorder="1" applyAlignment="1">
      <alignment wrapText="1"/>
      <protection/>
    </xf>
    <xf numFmtId="0" fontId="5" fillId="35" borderId="54" xfId="50" applyFont="1" applyFill="1" applyBorder="1" applyAlignment="1">
      <alignment horizontal="center" wrapText="1"/>
      <protection/>
    </xf>
    <xf numFmtId="176" fontId="0" fillId="35" borderId="54" xfId="50" applyNumberFormat="1" applyFill="1" applyBorder="1" applyAlignment="1">
      <alignment horizontal="right" wrapText="1"/>
      <protection/>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Moeda 2" xfId="47"/>
    <cellStyle name="Neutra" xfId="48"/>
    <cellStyle name="Normal 2" xfId="49"/>
    <cellStyle name="Normal 2 2" xfId="50"/>
    <cellStyle name="Normal 2 2 2" xfId="51"/>
    <cellStyle name="Normal 6" xfId="52"/>
    <cellStyle name="Nota" xfId="53"/>
    <cellStyle name="Percent"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23</xdr:row>
      <xdr:rowOff>66675</xdr:rowOff>
    </xdr:from>
    <xdr:to>
      <xdr:col>6</xdr:col>
      <xdr:colOff>904875</xdr:colOff>
      <xdr:row>37</xdr:row>
      <xdr:rowOff>66675</xdr:rowOff>
    </xdr:to>
    <xdr:sp>
      <xdr:nvSpPr>
        <xdr:cNvPr id="1" name="Rectangle 1"/>
        <xdr:cNvSpPr>
          <a:spLocks/>
        </xdr:cNvSpPr>
      </xdr:nvSpPr>
      <xdr:spPr>
        <a:xfrm>
          <a:off x="133350" y="3086100"/>
          <a:ext cx="9639300" cy="22383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1 - Os parâmetros acima foram utilizados para as projeções de receitas e despesas, bem como para os cálculos em valores correntes e constantes, de acordo com sua pertinência, ou não com as origem/espécie/rubrica de receita e/ou grupo de natureza de despesa.                                                                                                                         
</a:t>
          </a:r>
          <a:r>
            <a:rPr lang="en-US" cap="none" sz="1000" b="0" i="0" u="none" baseline="0">
              <a:solidFill>
                <a:srgbClr val="000000"/>
              </a:solidFill>
              <a:latin typeface="Arial"/>
              <a:ea typeface="Arial"/>
              <a:cs typeface="Arial"/>
            </a:rPr>
            <a:t>2 - Os percentuais referentes ao IPCA,  Variação do PIB, Taxa Slic e Taxa de Câmbio foram extraídos do "Relatório Focus" divulgado pelo BAnco Central do Brasil (https://www.bcb.gov.br/publicacoes/focus) em 28/07/2023.
</a:t>
          </a:r>
          <a:r>
            <a:rPr lang="en-US" cap="none" sz="1000" b="0" i="0" u="none" baseline="0">
              <a:solidFill>
                <a:srgbClr val="000000"/>
              </a:solidFill>
              <a:latin typeface="Arial"/>
              <a:ea typeface="Arial"/>
              <a:cs typeface="Arial"/>
            </a:rPr>
            <a:t>3-</a:t>
          </a:r>
          <a:r>
            <a:rPr lang="en-US" cap="none" sz="1100" b="0" i="0" u="none" baseline="0">
              <a:solidFill>
                <a:srgbClr val="000000"/>
              </a:solidFill>
            </a:rPr>
            <a:t>-O aumento salarial de 3,72% previsto para 2024 refere-se à inflação de anos anteriores (2017, 2020, 2021) que por questões legais impeditivas não foram devidamente concedidas, mas que estavam previstas e com suficiência financeira. 
</a:t>
          </a:r>
          <a:r>
            <a:rPr lang="en-US" cap="none" sz="1100" b="0" i="0" u="none" baseline="0">
              <a:solidFill>
                <a:srgbClr val="000000"/>
              </a:solidFill>
            </a:rPr>
            <a:t>4-Crescimento vegetativo folha salarial com base no Relatório da Avaliação Atuarial, sendo 1,41% ao ano para quadro geral e 1,64% para o magistério, dado que 50% do quadro corresponde ao magistério, adotou-se o percentual proporcional de 1,52%.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6</xdr:col>
      <xdr:colOff>352425</xdr:colOff>
      <xdr:row>26</xdr:row>
      <xdr:rowOff>0</xdr:rowOff>
    </xdr:from>
    <xdr:to>
      <xdr:col>6</xdr:col>
      <xdr:colOff>371475</xdr:colOff>
      <xdr:row>26</xdr:row>
      <xdr:rowOff>0</xdr:rowOff>
    </xdr:to>
    <xdr:sp>
      <xdr:nvSpPr>
        <xdr:cNvPr id="2" name="Line 8"/>
        <xdr:cNvSpPr>
          <a:spLocks/>
        </xdr:cNvSpPr>
      </xdr:nvSpPr>
      <xdr:spPr>
        <a:xfrm flipH="1">
          <a:off x="9220200" y="3476625"/>
          <a:ext cx="190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25</xdr:row>
      <xdr:rowOff>85725</xdr:rowOff>
    </xdr:from>
    <xdr:to>
      <xdr:col>2</xdr:col>
      <xdr:colOff>0</xdr:colOff>
      <xdr:row>44</xdr:row>
      <xdr:rowOff>66675</xdr:rowOff>
    </xdr:to>
    <xdr:sp>
      <xdr:nvSpPr>
        <xdr:cNvPr id="1" name="Rectangle 1"/>
        <xdr:cNvSpPr>
          <a:spLocks/>
        </xdr:cNvSpPr>
      </xdr:nvSpPr>
      <xdr:spPr>
        <a:xfrm>
          <a:off x="123825" y="4400550"/>
          <a:ext cx="4933950" cy="305752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rPr>
            <a:t> A Demonstração da margem de expansão das despesas obrigatórias de caráter continuado visa a assegurar que não haverá criação de nova despesa sem a correspondente fonte de financiamento. 
</a:t>
          </a:r>
          <a:r>
            <a:rPr lang="en-US" cap="none" sz="1000" b="0" i="0" u="none" baseline="0">
              <a:solidFill>
                <a:srgbClr val="000000"/>
              </a:solidFill>
            </a:rPr>
            <a:t>
</a:t>
          </a:r>
          <a:r>
            <a:rPr lang="en-US" cap="none" sz="1000" b="0" i="0" u="none" baseline="0">
              <a:solidFill>
                <a:srgbClr val="000000"/>
              </a:solidFill>
            </a:rPr>
            <a:t>Em outras palavras, o demonstrativo identifica o aumento permanente de receita para suportar o aumento permanente da despesa de caráter continuado, assim entendida aquela derivada de lei, contrato, ou ato normativo que fixe a obrigatoriedade de execução por um período superior a dois exercícios, cumprindo, dessa forma, a disposição contida no art. 4º, </a:t>
          </a:r>
          <a:r>
            <a:rPr lang="en-US" cap="none" sz="1000" b="0" i="0" u="none" baseline="0">
              <a:solidFill>
                <a:srgbClr val="000000"/>
              </a:solidFill>
              <a:latin typeface="Arial"/>
              <a:ea typeface="Arial"/>
              <a:cs typeface="Arial"/>
            </a:rPr>
            <a:t>§</a:t>
          </a:r>
          <a:r>
            <a:rPr lang="en-US" cap="none" sz="1000" b="0" i="0" u="none" baseline="0">
              <a:solidFill>
                <a:srgbClr val="000000"/>
              </a:solidFill>
            </a:rPr>
            <a:t> 2º, inciso V da LRF.
</a:t>
          </a:r>
          <a:r>
            <a:rPr lang="en-US" cap="none" sz="1000" b="0" i="0" u="none" baseline="0">
              <a:solidFill>
                <a:srgbClr val="000000"/>
              </a:solidFill>
            </a:rPr>
            <a:t>
</a:t>
          </a:r>
          <a:r>
            <a:rPr lang="en-US" cap="none" sz="1000" b="0" i="0" u="none" baseline="0">
              <a:solidFill>
                <a:srgbClr val="000000"/>
              </a:solidFill>
            </a:rPr>
            <a:t>Desse modo, para estimar o aumento permanente das receitas em 2024 considerou-se o incremento real, ou seja, a diferença entre os valores estimados a preços constantes das receitas  trbutárias e de transferências correntes, no biênio 2023-2024.
</a:t>
          </a:r>
          <a:r>
            <a:rPr lang="en-US" cap="none" sz="1000" b="0" i="0" u="none" baseline="0">
              <a:solidFill>
                <a:srgbClr val="000000"/>
              </a:solidFill>
            </a:rPr>
            <a:t>
</a:t>
          </a:r>
          <a:r>
            <a:rPr lang="en-US" cap="none" sz="1000" b="0" i="0" u="none" baseline="0">
              <a:solidFill>
                <a:srgbClr val="000000"/>
              </a:solidFill>
            </a:rPr>
            <a:t>Na mesma linha, o aumento permanente das despesas de caráter obrigatório que terão impacto em 2024, foi calculado pela diferença a valores constantes, observada no biênio 2022-2023 nos grupos de natureza de despesa "Pessoal" e "Outras Despesas Correntes", chegando-se, assim, ao saldo da margem líquida de expansão.  Quando negativo (</a:t>
          </a:r>
          <a:r>
            <a:rPr lang="en-US" cap="none" sz="1000" b="1" i="0" u="none" baseline="0">
              <a:solidFill>
                <a:srgbClr val="000000"/>
              </a:solidFill>
            </a:rPr>
            <a:t>SEM MARGEM</a:t>
          </a:r>
          <a:r>
            <a:rPr lang="en-US" cap="none" sz="1000" b="0" i="0" u="none" baseline="0">
              <a:solidFill>
                <a:srgbClr val="000000"/>
              </a:solidFill>
            </a:rPr>
            <a:t>), o resultado apresentado é meramente indicativo de alerta para a criação de novas DOCC</a:t>
          </a:r>
          <a:r>
            <a:rPr lang="en-US" cap="none" sz="1000" b="1" i="0" u="none" baseline="0">
              <a:solidFill>
                <a:srgbClr val="000000"/>
              </a:solidFill>
            </a:rPr>
            <a:t>.  Quando for positivo </a:t>
          </a:r>
          <a:r>
            <a:rPr lang="en-US" cap="none" sz="1000" b="0" i="0" u="none" baseline="0">
              <a:solidFill>
                <a:srgbClr val="000000"/>
              </a:solidFill>
            </a:rPr>
            <a:t>é indicativo da possibilidade de criação de novas DOCC.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27</xdr:row>
      <xdr:rowOff>76200</xdr:rowOff>
    </xdr:from>
    <xdr:to>
      <xdr:col>3</xdr:col>
      <xdr:colOff>866775</xdr:colOff>
      <xdr:row>41</xdr:row>
      <xdr:rowOff>142875</xdr:rowOff>
    </xdr:to>
    <xdr:sp>
      <xdr:nvSpPr>
        <xdr:cNvPr id="1" name="Rectangle 2"/>
        <xdr:cNvSpPr>
          <a:spLocks/>
        </xdr:cNvSpPr>
      </xdr:nvSpPr>
      <xdr:spPr>
        <a:xfrm>
          <a:off x="180975" y="5114925"/>
          <a:ext cx="6724650" cy="233362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rPr>
            <a:t>O Anexo de Riscos fiscais tem por objetivo especificar eventuais riscos que possam impactar negativamente nas contas públicas, indicando de forma preventiva as providências a serem tomadas caso as situaçãoes acima descritas venham a ocorrer, cumprindo desta forma o disposto no art. 4º, </a:t>
          </a:r>
          <a:r>
            <a:rPr lang="en-US" cap="none" sz="1000" b="0" i="0" u="none" baseline="0">
              <a:solidFill>
                <a:srgbClr val="000000"/>
              </a:solidFill>
              <a:latin typeface="Arial"/>
              <a:ea typeface="Arial"/>
              <a:cs typeface="Arial"/>
            </a:rPr>
            <a:t>§</a:t>
          </a:r>
          <a:r>
            <a:rPr lang="en-US" cap="none" sz="1000" b="0" i="0" u="none" baseline="0">
              <a:solidFill>
                <a:srgbClr val="000000"/>
              </a:solidFill>
            </a:rPr>
            <a:t> 3º da LRF.                                                                                                                                                      
</a:t>
          </a:r>
          <a:r>
            <a:rPr lang="en-US" cap="none" sz="1000" b="0" i="0" u="none" baseline="0">
              <a:solidFill>
                <a:srgbClr val="000000"/>
              </a:solidFill>
            </a:rPr>
            <a:t>
</a:t>
          </a:r>
          <a:r>
            <a:rPr lang="en-US" cap="none" sz="1000" b="0" i="0" u="none" baseline="0">
              <a:solidFill>
                <a:srgbClr val="000000"/>
              </a:solidFill>
            </a:rPr>
            <a:t> 1 - Os valores referente aos </a:t>
          </a:r>
          <a:r>
            <a:rPr lang="en-US" cap="none" sz="1000" b="1" i="0" u="none" baseline="0">
              <a:solidFill>
                <a:srgbClr val="000000"/>
              </a:solidFill>
            </a:rPr>
            <a:t>PASSIVOS CONTINGENTES</a:t>
          </a:r>
          <a:r>
            <a:rPr lang="en-US" cap="none" sz="1000" b="0" i="0" u="none" baseline="0">
              <a:solidFill>
                <a:srgbClr val="000000"/>
              </a:solidFill>
            </a:rPr>
            <a:t>, representam a estimativa de possível obrigações em 2024, cuja existência será confirmada somente em caso de ocorrência de um mais eventos futuros que não estão totalmente sob o controle do Municípioda entidade.  Também poderão poderão representar possíveis obrigações decorretes de eventos passados, mas que não estão reconhecidas contabilmente e tampouco contam com previsão de recursos no orçamento porque é improvável a sua liquidação em 2024.                                                                                                                                                                                                     
</a:t>
          </a:r>
          <a:r>
            <a:rPr lang="en-US" cap="none" sz="1000" b="0" i="0" u="none" baseline="0">
              <a:solidFill>
                <a:srgbClr val="000000"/>
              </a:solidFill>
            </a:rPr>
            <a:t>
</a:t>
          </a:r>
          <a:r>
            <a:rPr lang="en-US" cap="none" sz="1000" b="0" i="0" u="none" baseline="0">
              <a:solidFill>
                <a:srgbClr val="000000"/>
              </a:solidFill>
            </a:rPr>
            <a:t> 2 -  Os </a:t>
          </a:r>
          <a:r>
            <a:rPr lang="en-US" cap="none" sz="1000" b="1" i="0" u="none" baseline="0">
              <a:solidFill>
                <a:srgbClr val="000000"/>
              </a:solidFill>
            </a:rPr>
            <a:t>DEMAIS RISCOS FISCAIS PASSIVOS </a:t>
          </a:r>
          <a:r>
            <a:rPr lang="en-US" cap="none" sz="1000" b="0" i="0" u="none" baseline="0">
              <a:solidFill>
                <a:srgbClr val="000000"/>
              </a:solidFill>
            </a:rPr>
            <a:t>estão relacionados principalmente aos riscos orçamentários relacionados com a possibilidade da ocorrência de impactos negativos na execução orçamentária,  devido a fatores tais como as receitas previstas não se realizarem (frustração de  à necessidade de execução de despesas inicialmente não
</a:t>
          </a:r>
          <a:r>
            <a:rPr lang="en-US" cap="none" sz="1000" b="0" i="0" u="none" baseline="0">
              <a:solidFill>
                <a:srgbClr val="000000"/>
              </a:solidFill>
            </a:rPr>
            <a:t>fixadas (abertura de créditos especiais e/opu extraordinários) ou orçadas a menor (créditos suplementares).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28</xdr:row>
      <xdr:rowOff>142875</xdr:rowOff>
    </xdr:from>
    <xdr:to>
      <xdr:col>6</xdr:col>
      <xdr:colOff>209550</xdr:colOff>
      <xdr:row>37</xdr:row>
      <xdr:rowOff>76200</xdr:rowOff>
    </xdr:to>
    <xdr:sp>
      <xdr:nvSpPr>
        <xdr:cNvPr id="1" name="Rectangle 6"/>
        <xdr:cNvSpPr>
          <a:spLocks/>
        </xdr:cNvSpPr>
      </xdr:nvSpPr>
      <xdr:spPr>
        <a:xfrm>
          <a:off x="342900" y="6477000"/>
          <a:ext cx="9134475" cy="130492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000" b="1" i="0" u="none" baseline="0">
              <a:solidFill>
                <a:srgbClr val="000000"/>
              </a:solidFill>
            </a:rPr>
            <a:t>Dívida Pública Consolidada – É o montante total apurado:
</a:t>
          </a:r>
          <a:r>
            <a:rPr lang="en-US" cap="none" sz="1000" b="0" i="0" u="none" baseline="0">
              <a:solidFill>
                <a:srgbClr val="000000"/>
              </a:solidFill>
            </a:rPr>
            <a:t>- das obrigações financeiras do Município, inclusive as decorrentes de emissão de títulos, assumidas em virtude de leis, contratos, convênios ou tratados;
</a:t>
          </a:r>
          <a:r>
            <a:rPr lang="en-US" cap="none" sz="1000" b="0" i="0" u="none" baseline="0">
              <a:solidFill>
                <a:srgbClr val="000000"/>
              </a:solidFill>
            </a:rPr>
            <a:t>- das obrigações financeiras doMunicípio, assumidas em virtude da realização de operações de crédito para amortização em prazo superior a doze meses ou que, embora de prazo inferior a doze meses, tenham constado como receitas no orçamento;
</a:t>
          </a:r>
          <a:r>
            <a:rPr lang="en-US" cap="none" sz="1000" b="0" i="0" u="none" baseline="0">
              <a:solidFill>
                <a:srgbClr val="000000"/>
              </a:solidFill>
            </a:rPr>
            <a:t>- dos precatórios judiciais emitidos a partir de 5 de maio de 2000 e não pagos durante a execução do orçamento em que houverem sido incluídos.
</a:t>
          </a:r>
          <a:r>
            <a:rPr lang="en-US" cap="none" sz="1000" b="0" i="0" u="none" baseline="0">
              <a:solidFill>
                <a:srgbClr val="000000"/>
              </a:solidFill>
            </a:rPr>
            <a:t>
</a:t>
          </a:r>
          <a:r>
            <a:rPr lang="en-US" cap="none" sz="1000" b="1" i="0" u="none" baseline="0">
              <a:solidFill>
                <a:srgbClr val="000000"/>
              </a:solidFill>
            </a:rPr>
            <a:t>Dívida Consolidada Líquida – DCL –</a:t>
          </a:r>
          <a:r>
            <a:rPr lang="en-US" cap="none" sz="1000" b="0" i="0" u="none" baseline="0">
              <a:solidFill>
                <a:srgbClr val="000000"/>
              </a:solidFill>
            </a:rPr>
            <a:t> Corresponde à dívida pública consolidada menos as deduções, que compreendem o ativo disponível e os haveres financeiros, líquidos dos Restos a Pagar Processados.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152400</xdr:rowOff>
    </xdr:from>
    <xdr:to>
      <xdr:col>10</xdr:col>
      <xdr:colOff>781050</xdr:colOff>
      <xdr:row>69</xdr:row>
      <xdr:rowOff>85725</xdr:rowOff>
    </xdr:to>
    <xdr:sp>
      <xdr:nvSpPr>
        <xdr:cNvPr id="1" name="Rectangle 3"/>
        <xdr:cNvSpPr>
          <a:spLocks/>
        </xdr:cNvSpPr>
      </xdr:nvSpPr>
      <xdr:spPr>
        <a:xfrm>
          <a:off x="0" y="7172325"/>
          <a:ext cx="9991725" cy="5924550"/>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000" b="1" i="0" u="none" baseline="0">
              <a:solidFill>
                <a:srgbClr val="000000"/>
              </a:solidFill>
            </a:rPr>
            <a:t>Premissas e Metodologia UtilizadaS:
</a:t>
          </a:r>
          <a:r>
            <a:rPr lang="en-US" cap="none" sz="1000" b="1" i="0" u="none" baseline="0">
              <a:solidFill>
                <a:srgbClr val="000000"/>
              </a:solidFill>
            </a:rPr>
            <a:t>1 -</a:t>
          </a:r>
          <a:r>
            <a:rPr lang="en-US" cap="none" sz="1000" b="0" i="0" u="none" baseline="0">
              <a:solidFill>
                <a:srgbClr val="000000"/>
              </a:solidFill>
            </a:rPr>
            <a:t> Os parâmetros macroeconômicos utilizados na elaboração das estimativas constantes no Anexo de Metas Fiscais são relacionados na </a:t>
          </a:r>
          <a:r>
            <a:rPr lang="en-US" cap="none" sz="1000" b="1" i="0" u="none" baseline="0">
              <a:solidFill>
                <a:srgbClr val="000000"/>
              </a:solidFill>
            </a:rPr>
            <a:t>Tabela 01.</a:t>
          </a:r>
          <a:r>
            <a:rPr lang="en-US" cap="none" sz="1000" b="0" i="0" u="none" baseline="0">
              <a:solidFill>
                <a:srgbClr val="000000"/>
              </a:solidFill>
            </a:rPr>
            <a:t> Os números estão apresentados de duas formas. Em moeda corrente e em valores constantes (sem inflação). Esses indicadores foram utilizados na composição da estimativa de receita que considerou a média de arrecadação, em cada fonte, tomando por base as receitas arrecadadas nos últimos três exercícios (2020, 2021 e 2022) e os valores reestimados para o exercício atual (2023), além das premissas consideradas como verdadeiras e relacionadas, por exemplo, ao índice de inflação, crescimento do PIB, atualização da planta de valores do IPTU, ampliação do perímetro urbano da cidade, políticas de combate à evasão e à sonegação fiscal, comportamento das receitas oriundas de transferências da União e do Estado, dentre outros.
</a:t>
          </a:r>
          <a:r>
            <a:rPr lang="en-US" cap="none" sz="1000" b="1" i="0" u="none" baseline="0">
              <a:solidFill>
                <a:srgbClr val="000000"/>
              </a:solidFill>
            </a:rPr>
            <a:t>2 -</a:t>
          </a:r>
          <a:r>
            <a:rPr lang="en-US" cap="none" sz="1000" b="0" i="0" u="none" baseline="0">
              <a:solidFill>
                <a:srgbClr val="000000"/>
              </a:solidFill>
            </a:rPr>
            <a:t> Em relação às despesas correntes, foram considerados os parâmetros de inflação, crescimento vegetativo e aumento real, quando cabível, das despesas de custeios.  Quanrto aos aos investimentos, além da inflação, considerou-se a estimativa de crescimento real dessas despesas em nível que viabilize a sua expansão a fim de garantir, precipuamente, a conclusão dos projetos em andamento demonstrados no </a:t>
          </a:r>
          <a:r>
            <a:rPr lang="en-US" cap="none" sz="1000" b="1" i="0" u="none" baseline="0">
              <a:solidFill>
                <a:srgbClr val="000000"/>
              </a:solidFill>
            </a:rPr>
            <a:t>Anexo IV.</a:t>
          </a:r>
          <a:r>
            <a:rPr lang="en-US" cap="none" sz="1000" b="0" i="0" u="none" baseline="0">
              <a:solidFill>
                <a:srgbClr val="000000"/>
              </a:solidFill>
            </a:rPr>
            <a:t>  Asseguraram-se, ainda, os recursos para pagamento das obrigações decorrentes de juros e amortização da dívida pública.
</a:t>
          </a:r>
          <a:r>
            <a:rPr lang="en-US" cap="none" sz="1000" b="1" i="0" u="none" baseline="0">
              <a:solidFill>
                <a:srgbClr val="000000"/>
              </a:solidFill>
            </a:rPr>
            <a:t>3 –</a:t>
          </a:r>
          <a:r>
            <a:rPr lang="en-US" cap="none" sz="1000" b="0" i="0" u="none" baseline="0">
              <a:solidFill>
                <a:srgbClr val="000000"/>
              </a:solidFill>
            </a:rPr>
            <a:t> No tocante às despesas com pessoal, em específico, foi considerado o provável efeito da revisão geral anual prevista na Constituição, o crescimento vegetativo da folha salarial e eventual aumento acima dos níveis inflacionários. As </a:t>
          </a:r>
          <a:r>
            <a:rPr lang="en-US" cap="none" sz="1000" b="1" i="0" u="none" baseline="0">
              <a:solidFill>
                <a:srgbClr val="000000"/>
              </a:solidFill>
            </a:rPr>
            <a:t>Tabelas  03 e 04 </a:t>
          </a:r>
          <a:r>
            <a:rPr lang="en-US" cap="none" sz="1000" b="0" i="0" u="none" baseline="0">
              <a:solidFill>
                <a:srgbClr val="000000"/>
              </a:solidFill>
            </a:rPr>
            <a:t>demonstram, respectivamente, as projeções para a Receita Corrente Líquida e Limites para os  Gastos com Pessoal dos Poderes Executivo e Legislativo.
</a:t>
          </a:r>
          <a:r>
            <a:rPr lang="en-US" cap="none" sz="1000" b="1" i="0" u="none" baseline="0">
              <a:solidFill>
                <a:srgbClr val="000000"/>
              </a:solidFill>
            </a:rPr>
            <a:t>4 -</a:t>
          </a:r>
          <a:r>
            <a:rPr lang="en-US" cap="none" sz="1000" b="0" i="0" u="none" baseline="0">
              <a:solidFill>
                <a:srgbClr val="000000"/>
              </a:solidFill>
            </a:rPr>
            <a:t> Considera-se o PIB e o IPCA como as principais variáveis para explicar o crescimento nominal das receitas, visto que boa parte das receitas tributárias e não tributárias, bem como as transferências constitucionais e legais acompanham o ritmo das atividades econômicas de âmbito nacional. Assim, para os exercícios de 2024, 2025 e 2026, considerou-se um crescimento do Produto Interno Bruto nacional de 1,28 %, 1,81 % e 1,90 % e das taxas de inflação (IPCA), de 3,92 %, 3,60 % e 3,50 %, respectivamente, cujas projeções decorrem do sistema de expectativa de mercado, segundo informações do sítio do Banco Central do Brasil, verificadas em 28/07/2023.
</a:t>
          </a:r>
          <a:r>
            <a:rPr lang="en-US" cap="none" sz="1000" b="1" i="0" u="none" baseline="0">
              <a:solidFill>
                <a:srgbClr val="000000"/>
              </a:solidFill>
            </a:rPr>
            <a:t>5 -</a:t>
          </a:r>
          <a:r>
            <a:rPr lang="en-US" cap="none" sz="1000" b="0" i="0" u="none" baseline="0">
              <a:solidFill>
                <a:srgbClr val="000000"/>
              </a:solidFill>
            </a:rPr>
            <a:t> Outro ponto importante a ser destacado é que a receita do Município, conforme estabelece o </a:t>
          </a:r>
          <a:r>
            <a:rPr lang="en-US" cap="none" sz="1000" b="0" i="0" u="none" baseline="0">
              <a:solidFill>
                <a:srgbClr val="000000"/>
              </a:solidFill>
            </a:rPr>
            <a:t>§</a:t>
          </a:r>
          <a:r>
            <a:rPr lang="en-US" cap="none" sz="1000" b="0" i="0" u="none" baseline="0">
              <a:solidFill>
                <a:srgbClr val="000000"/>
              </a:solidFill>
            </a:rPr>
            <a:t> 3º, do art. 1º da Lei Complementar nº 101/00, compreende as receitas de todos os órgãos da Administração Pública Municipal, inclusive as receitas intraorçamentárias.
</a:t>
          </a:r>
          <a:r>
            <a:rPr lang="en-US" cap="none" sz="1000" b="1" i="0" u="none" baseline="0">
              <a:solidFill>
                <a:srgbClr val="000000"/>
              </a:solidFill>
            </a:rPr>
            <a:t>6 -</a:t>
          </a:r>
          <a:r>
            <a:rPr lang="en-US" cap="none" sz="1000" b="0" i="0" u="none" baseline="0">
              <a:solidFill>
                <a:srgbClr val="000000"/>
              </a:solidFill>
            </a:rPr>
            <a:t> Em relação ao cálculo do Resultado Primário e do Resultado Nominal, considerou a metodologia estabelecida na Portaria STN nº 1.447/2022. Os resultados primários previstos para os três exercícios são considerados suficientes para manutenção do equilíbrio fiscal. Cabe ponderar que, nos termos do art. 2º da LDO, o resultado primário poderá ser revisto por ocasião da elaboração da Lei Orçamentária Anual ou durante o exercício de 2024. O resultado nominal reflete a variação do endividamento fiscal líquido entre as datas referidas.  
</a:t>
          </a:r>
          <a:r>
            <a:rPr lang="en-US" cap="none" sz="1000" b="1" i="0" u="none" baseline="0">
              <a:solidFill>
                <a:srgbClr val="000000"/>
              </a:solidFill>
            </a:rPr>
            <a:t>7 -</a:t>
          </a:r>
          <a:r>
            <a:rPr lang="en-US" cap="none" sz="1000" b="0" i="0" u="none" baseline="0">
              <a:solidFill>
                <a:srgbClr val="000000"/>
              </a:solidFill>
            </a:rPr>
            <a:t> Na estimativa do montante da dívida consolidada, utilizou-se, como parâmetro de correção a previsão da média anual para a taxa de juros SELIC,  de 9,50%,9% e 8,63%, segundo informações do sítio do Banco Central do Brasil, verificadas em  28/07/2023.  
</a:t>
          </a:r>
          <a:r>
            <a:rPr lang="en-US" cap="none" sz="1000" b="1" i="0" u="none" baseline="0">
              <a:solidFill>
                <a:srgbClr val="000000"/>
              </a:solidFill>
            </a:rPr>
            <a:t>8 -</a:t>
          </a:r>
          <a:r>
            <a:rPr lang="en-US" cap="none" sz="1000" b="0" i="0" u="none" baseline="0">
              <a:solidFill>
                <a:srgbClr val="000000"/>
              </a:solidFill>
            </a:rPr>
            <a:t> Já na apuração do montante da dívida líquida, os valores das Disponibilidades Financeiras foram calculados levando-se em consideração o provável saldo existente em 31/12/2023, projetando-se os valores futuros com base nos percentuais médios dos valores realizados no ano anterior.
</a:t>
          </a:r>
          <a:r>
            <a:rPr lang="en-US" cap="none" sz="1000" b="1" i="0" u="none" baseline="0">
              <a:solidFill>
                <a:srgbClr val="000000"/>
              </a:solidFill>
            </a:rPr>
            <a:t>9 -</a:t>
          </a:r>
          <a:r>
            <a:rPr lang="en-US" cap="none" sz="1000" b="0" i="0" u="none" baseline="0">
              <a:solidFill>
                <a:srgbClr val="000000"/>
              </a:solidFill>
            </a:rPr>
            <a:t> Isso posto, podemos elencar, a partir da leitura das projeções estabelecidas para o ano de referência da LDO, os números mais representativos no contexto das projeções:
</a:t>
          </a:r>
          <a:r>
            <a:rPr lang="en-US" cap="none" sz="1000" b="1" i="0" u="none" baseline="0">
              <a:solidFill>
                <a:srgbClr val="000000"/>
              </a:solidFill>
            </a:rPr>
            <a:t>9.1 -</a:t>
          </a:r>
          <a:r>
            <a:rPr lang="en-US" cap="none" sz="1000" b="0" i="0" u="none" baseline="0">
              <a:solidFill>
                <a:srgbClr val="000000"/>
              </a:solidFill>
            </a:rPr>
            <a:t> A receita total estimada para o exercício de 2024, consideradas todas as fontes de recursos é de R$ 139.600.793,35, a preços correntes que, deduzidas das receitas financeiras, representadas pelos Rendimentos das Aplicações Financeiras R$ 5.566.401,42, das resultantes de Operações de Crédito (R$ 0,00), das Alienações de Investimentos (R$ 0,00) e das resultantes de Amortização de Empréstimos Concedidos R$ 10.928,16, resultam numa Receita Primária de R$ 134.023.463,77. 
</a:t>
          </a:r>
          <a:r>
            <a:rPr lang="en-US" cap="none" sz="1000" b="1" i="0" u="none" baseline="0">
              <a:solidFill>
                <a:srgbClr val="000000"/>
              </a:solidFill>
            </a:rPr>
            <a:t>9.2 -</a:t>
          </a:r>
          <a:r>
            <a:rPr lang="en-US" cap="none" sz="1000" b="0" i="0" u="none" baseline="0">
              <a:solidFill>
                <a:srgbClr val="000000"/>
              </a:solidFill>
            </a:rPr>
            <a:t> As despesas do Município foram programadas segundo o comportamento previsto da receita, sendo que o maior objetivo é manter, ou ainda, ampliar a capacidade própria de investimentos, sem comprometer o equilíbrio financeiro. Assim, consideradas todas as fontes de recursos, a despesa total está prevista em R$ 133.587.521,92. Deduzindo-se as despesas financeiras com juros e encargos da dívida, estimadas em R$ 6.316,24, mais as despesas com Concessão de Empréstimos e Financiamentos, no valor de R$ 0,00, a Amortização da Dívida Publica, estimada em R$ 395.444,69, tem-se que as despesas primárias para 2024 foram previstas em R$ 133.185.761,00.  </a:t>
          </a:r>
          <a:r>
            <a:rPr lang="en-US" cap="none" sz="1000" b="1" i="0" u="none" baseline="0">
              <a:solidFill>
                <a:srgbClr val="000000"/>
              </a:solidFill>
            </a:rPr>
            <a:t>A tabela 02 </a:t>
          </a:r>
          <a:r>
            <a:rPr lang="en-US" cap="none" sz="1000" b="0" i="0" u="none" baseline="0">
              <a:solidFill>
                <a:srgbClr val="000000"/>
              </a:solidFill>
            </a:rPr>
            <a:t>evidencia o detalhamento das projeções da receita e despesa.
</a:t>
          </a:r>
          <a:r>
            <a:rPr lang="en-US" cap="none" sz="1000" b="1" i="0" u="none" baseline="0">
              <a:solidFill>
                <a:srgbClr val="000000"/>
              </a:solidFill>
            </a:rPr>
            <a:t>9.3 -</a:t>
          </a:r>
          <a:r>
            <a:rPr lang="en-US" cap="none" sz="1000" b="0" i="0" u="none" baseline="0">
              <a:solidFill>
                <a:srgbClr val="000000"/>
              </a:solidFill>
            </a:rPr>
            <a:t> Cotejando-se o valor previsto para as receitas e despesas primárias em valores correntes, chega-se à meta de resultado primário de 2024 que foi inicialmente prevista em R$ 837.702,78 a qual entendemos como necessária e suficiente para preservar o equilíbrio nas contas públicas. No entanto, ressaltamos que, a depender do comportamento das variáveis macroeconômicas, ou na hipótese de frustração de arrecadação, a meta poderá ser alterada, conforme expressa previsão do art. 2º da LDO. 
</a:t>
          </a:r>
          <a:r>
            <a:rPr lang="en-US" cap="none" sz="1000" b="1" i="0" u="none" baseline="0">
              <a:solidFill>
                <a:srgbClr val="000000"/>
              </a:solidFill>
            </a:rPr>
            <a:t>10 -</a:t>
          </a:r>
          <a:r>
            <a:rPr lang="en-US" cap="none" sz="1000" b="0" i="0" u="none" baseline="0">
              <a:solidFill>
                <a:srgbClr val="000000"/>
              </a:solidFill>
            </a:rPr>
            <a:t> Em relação ao estoque da dívida, esse corresponde à posição em dezembro de cada exercício, considerando a previsão das amortizações e das liberações a serem realizadas no respectivo período, estando os valores evidenciados na </a:t>
          </a:r>
          <a:r>
            <a:rPr lang="en-US" cap="none" sz="1000" b="1" i="0" u="none" baseline="0">
              <a:solidFill>
                <a:srgbClr val="000000"/>
              </a:solidFill>
            </a:rPr>
            <a:t>Tabela 05.
</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7</xdr:col>
      <xdr:colOff>628650</xdr:colOff>
      <xdr:row>47</xdr:row>
      <xdr:rowOff>38100</xdr:rowOff>
    </xdr:to>
    <xdr:sp>
      <xdr:nvSpPr>
        <xdr:cNvPr id="1" name="Rectangle 1"/>
        <xdr:cNvSpPr>
          <a:spLocks/>
        </xdr:cNvSpPr>
      </xdr:nvSpPr>
      <xdr:spPr>
        <a:xfrm>
          <a:off x="0" y="4905375"/>
          <a:ext cx="9267825" cy="3600450"/>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rPr>
            <a:t>O objetivo deste demonstrativo é estabelecer uma comparação entre as metas fixadas e o resultado obtido no exercício anterior ao da edição da LDO (2022), incluindo análise dos fatores determinantes para o alcance ou não dos valores estabelecidos como metas, visando a atender o disposto no art. 4º, </a:t>
          </a:r>
          <a:r>
            <a:rPr lang="en-US" cap="none" sz="1000" b="0" i="0" u="none" baseline="0">
              <a:solidFill>
                <a:srgbClr val="000000"/>
              </a:solidFill>
            </a:rPr>
            <a:t>§</a:t>
          </a:r>
          <a:r>
            <a:rPr lang="en-US" cap="none" sz="1000" b="0" i="0" u="none" baseline="0">
              <a:solidFill>
                <a:srgbClr val="000000"/>
              </a:solidFill>
            </a:rPr>
            <a:t> 2º, inciso I da LRF.
</a:t>
          </a:r>
          <a:r>
            <a:rPr lang="en-US" cap="none" sz="1000" b="0" i="0" u="none" baseline="0">
              <a:solidFill>
                <a:srgbClr val="000000"/>
              </a:solidFill>
            </a:rPr>
            <a:t> 
</a:t>
          </a:r>
          <a:r>
            <a:rPr lang="en-US" cap="none" sz="1000" b="0" i="0" u="none" baseline="0">
              <a:solidFill>
                <a:srgbClr val="000000"/>
              </a:solidFill>
            </a:rPr>
            <a:t>Assim, conforme demonstrado em audiência pública de avaliação das metas fiscais relativas ao terceiro quadrimestre do exercício financeiro de 2022 (art. 9º, </a:t>
          </a:r>
          <a:r>
            <a:rPr lang="en-US" cap="none" sz="1000" b="0" i="0" u="none" baseline="0">
              <a:solidFill>
                <a:srgbClr val="000000"/>
              </a:solidFill>
            </a:rPr>
            <a:t>§</a:t>
          </a:r>
          <a:r>
            <a:rPr lang="en-US" cap="none" sz="1000" b="0" i="0" u="none" baseline="0">
              <a:solidFill>
                <a:srgbClr val="000000"/>
              </a:solidFill>
            </a:rPr>
            <a:t> 4º da LRF), o resultado primário,  ficou em R$ 6.989.758,19, valor4,56% inferior à meta estabelecida para o ano, que era de R$ 7.323.450,55. O desempenho verificado demonstra que o ingresso das receitas primárias (não financeiras)  foi  capaz de suportar o total das despesas primárias (não financeiras) do exercício.
</a:t>
          </a:r>
          <a:r>
            <a:rPr lang="en-US" cap="none" sz="1000" b="0" i="0" u="none" baseline="0">
              <a:solidFill>
                <a:srgbClr val="000000"/>
              </a:solidFill>
            </a:rPr>
            <a:t> 
</a:t>
          </a:r>
          <a:r>
            <a:rPr lang="en-US" cap="none" sz="1000" b="0" i="0" u="none" baseline="0">
              <a:solidFill>
                <a:srgbClr val="000000"/>
              </a:solidFill>
            </a:rPr>
            <a:t>As receitas não financeiras totalizaram R$ 118.713.058,09,  superando em 10,11% a projeção para o período de R$ 107.812.823,05. As despesas não financeiras atingiram R$ 111.723.299,90,  estabelecendo-se 11,18% acima  da previsão orçamentária. Sua expansão correspondeu a 9,46% do total das receitas primárias, porém</a:t>
          </a:r>
          <a:r>
            <a:rPr lang="en-US" cap="none" sz="1100" b="0" i="0" u="none" baseline="0">
              <a:solidFill>
                <a:srgbClr val="000000"/>
              </a:solidFill>
            </a:rPr>
            <a:t> </a:t>
          </a:r>
          <a:r>
            <a:rPr lang="en-US" cap="none" sz="1000" b="0" i="0" u="none" baseline="0">
              <a:solidFill>
                <a:srgbClr val="000000"/>
              </a:solidFill>
            </a:rPr>
            <a:t>houve um percentual superior de receita realizada em relação á prevista  em 10,11% não comprometendo , dessa forma, a obtenção do superavit primário.
</a:t>
          </a:r>
          <a:r>
            <a:rPr lang="en-US" cap="none" sz="1000" b="0" i="0" u="none" baseline="0">
              <a:solidFill>
                <a:srgbClr val="000000"/>
              </a:solidFill>
            </a:rPr>
            <a:t> 
</a:t>
          </a:r>
          <a:r>
            <a:rPr lang="en-US" cap="none" sz="1000" b="0" i="0" u="none" baseline="0">
              <a:solidFill>
                <a:srgbClr val="000000"/>
              </a:solidFill>
            </a:rPr>
            <a:t>Em parte, esse resultado é em decorrência do desempenho favorável apresentado pela receita, tendo sido fortemente condicionado pelo comportamento das receitas correntes, que apresentaram um incremento de 12,80 % em relação ao valor consignado no orçamento. Destaca-se no exercício de 2022 o desempenho dos grupos de receita tributária , patrimonial  e as transferências correntes superaram a expectativa, respectivamente, em 20,01 %,  48,42 %, 6,01%.
</a:t>
          </a:r>
          <a:r>
            <a:rPr lang="en-US" cap="none" sz="1000" b="0" i="0" u="none" baseline="0">
              <a:solidFill>
                <a:srgbClr val="000000"/>
              </a:solidFill>
            </a:rPr>
            <a:t> 
</a:t>
          </a:r>
          <a:r>
            <a:rPr lang="en-US" cap="none" sz="1000" b="0" i="0" u="none" baseline="0">
              <a:solidFill>
                <a:srgbClr val="000000"/>
              </a:solidFill>
            </a:rPr>
            <a:t>A dívida consolidada totalizou R$ 675.000,00, valor 26,85% inferior ao saldo de R$ 922.774,73 estimado para o exercício. Tal comportamento é reflexo da diminuição dos desembolsos da amortização da dívida que totalizou R$ 337.500,00 valor 43,10% menor que a projeção consignada na Lei do Orçamento de R$ 593.160,10. 
</a:t>
          </a:r>
          <a:r>
            <a:rPr lang="en-US" cap="none" sz="1000" b="0" i="0" u="none" baseline="0">
              <a:solidFill>
                <a:srgbClr val="000000"/>
              </a:solidFill>
            </a:rPr>
            <a:t> 
</a:t>
          </a:r>
          <a:r>
            <a:rPr lang="en-US" cap="none" sz="1000" b="0" i="0" u="none" baseline="0">
              <a:solidFill>
                <a:srgbClr val="000000"/>
              </a:solidFill>
            </a:rPr>
            <a:t>No anexo de metas fiscais, que acompanhou a LDO para 2022, estipulou-se o montante da dívida fiscal líquida em -R$ 23.915.343,23. Contudo, os resultados efetivamente apurados e especificados no Relatório Resumido de Execução Orçamentária, e avaliados ao final daquele exercício apontam que o estoque da dívida, atualizado em dezembro daquele ano era de -R$ 46.193.924,18 que, comparado com o montante apurado ao final  do ano anterior (2021,) apresentou um decréscimo de R$ 9.580.164,93, valor este, que, de acordo com os conceitos estabelecidos no Manual dos Demonstrativos Fiscais, representa o Resultado Nominal pelo critério Abaixo da Linha.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10</xdr:col>
      <xdr:colOff>228600</xdr:colOff>
      <xdr:row>39</xdr:row>
      <xdr:rowOff>47625</xdr:rowOff>
    </xdr:to>
    <xdr:sp>
      <xdr:nvSpPr>
        <xdr:cNvPr id="1" name="Rectangle 1"/>
        <xdr:cNvSpPr>
          <a:spLocks/>
        </xdr:cNvSpPr>
      </xdr:nvSpPr>
      <xdr:spPr>
        <a:xfrm>
          <a:off x="0" y="5238750"/>
          <a:ext cx="12030075" cy="134302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rPr>
            <a:t>Conforme o Manual dos DEmonstrativos Fiscais da STN, o objetivo do Demonstrativo é </a:t>
          </a:r>
          <a:r>
            <a:rPr lang="en-US" cap="none" sz="1000" b="1" i="0" u="none" baseline="0">
              <a:solidFill>
                <a:srgbClr val="000000"/>
              </a:solidFill>
            </a:rPr>
            <a:t>dar transparência às </a:t>
          </a:r>
          <a:r>
            <a:rPr lang="en-US" cap="none" sz="1000" b="0" i="0" u="none" baseline="0">
              <a:solidFill>
                <a:srgbClr val="000000"/>
              </a:solidFill>
            </a:rPr>
            <a:t>informações sobre as metas fiscais dos três exercícios anteriores e dos três exercícios seguintes, para uma melhor avaliação da política fiscal , de forma a permitir a análise da política fiscal em uma linha do tempo, combinando execução passada e perspectivas futuras, validando a consistência dessas últimas.  Assim, são demonstradas as metas fiscais previstas para o exercício da LDO (2024), em comparação com as estabelecidas para os três exercícios anteriores  (2021, 2022 e 2023), bem como para os dois seguintes (2025 e 2026), referentes à Receita Total, Receitas Não Financeiras, Despesas Não Financeiras, Resultado Primário, Resultado Nominal, Dívida Pública Consolidada e Dívida Consolidada Líquida, cumprindo, assim,  a disposição contida no art. 4º, </a:t>
          </a:r>
          <a:r>
            <a:rPr lang="en-US" cap="none" sz="1000" b="0" i="0" u="none" baseline="0">
              <a:solidFill>
                <a:srgbClr val="000000"/>
              </a:solidFill>
              <a:latin typeface="Arial"/>
              <a:ea typeface="Arial"/>
              <a:cs typeface="Arial"/>
            </a:rPr>
            <a:t>§</a:t>
          </a:r>
          <a:r>
            <a:rPr lang="en-US" cap="none" sz="1000" b="0" i="0" u="none" baseline="0">
              <a:solidFill>
                <a:srgbClr val="000000"/>
              </a:solidFill>
            </a:rPr>
            <a:t> 2º, inciso II, da LRF.
</a:t>
          </a:r>
          <a:r>
            <a:rPr lang="en-US" cap="none" sz="1000" b="0" i="0" u="none" baseline="0">
              <a:solidFill>
                <a:srgbClr val="000000"/>
              </a:solidFill>
            </a:rPr>
            <a:t>
</a:t>
          </a:r>
          <a:r>
            <a:rPr lang="en-US" cap="none" sz="1000" b="0" i="0" u="none" baseline="0">
              <a:solidFill>
                <a:srgbClr val="000000"/>
              </a:solidFill>
            </a:rPr>
            <a:t>Os valores relativos às previsões de Receitas, Despesas e Resultado Primário de 2021, 2022 e 2023 foram atualizados pelas respectivas Leis Orçamentárias Anuais. Já os valores da previsão do Resultado Nominal, Dívida Consolidada e Dívida Consolidada Líquida, foram extraídos dos anexos de metas fiscais das respectivas LDO. Já em relação às previsões para os exercícios de 2024, 2025 e 2026, os valores, a metodologia, as premissas utilizadas e a respectiva memória de cálculo são as mesmas utilizadas para o estabelecimento das metas explicitadas no Demonstrativo 1 - de Metas Anuais, evidenciando assim a sua consistência.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29</xdr:row>
      <xdr:rowOff>66675</xdr:rowOff>
    </xdr:from>
    <xdr:to>
      <xdr:col>6</xdr:col>
      <xdr:colOff>495300</xdr:colOff>
      <xdr:row>54</xdr:row>
      <xdr:rowOff>142875</xdr:rowOff>
    </xdr:to>
    <xdr:sp>
      <xdr:nvSpPr>
        <xdr:cNvPr id="1" name="Rectangle 1"/>
        <xdr:cNvSpPr>
          <a:spLocks/>
        </xdr:cNvSpPr>
      </xdr:nvSpPr>
      <xdr:spPr>
        <a:xfrm>
          <a:off x="142875" y="5429250"/>
          <a:ext cx="6248400" cy="412432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rPr>
            <a:t>O presente demonstrativo visa a demonstrar a evolução do Patrimônio Líquido nos três exercícios anteriores ao da edição da LDO (2020, 2021 e 2022), para fins do disposto no art. 4º, </a:t>
          </a:r>
          <a:r>
            <a:rPr lang="en-US" cap="none" sz="1000" b="0" i="0" u="none" baseline="0">
              <a:solidFill>
                <a:srgbClr val="000000"/>
              </a:solidFill>
            </a:rPr>
            <a:t>§</a:t>
          </a:r>
          <a:r>
            <a:rPr lang="en-US" cap="none" sz="1000" b="0" i="0" u="none" baseline="0">
              <a:solidFill>
                <a:srgbClr val="000000"/>
              </a:solidFill>
            </a:rPr>
            <a:t> 2º, inciso III, da LRF.
</a:t>
          </a:r>
          <a:r>
            <a:rPr lang="en-US" cap="none" sz="1000" b="0" i="0" u="none" baseline="0">
              <a:solidFill>
                <a:srgbClr val="000000"/>
              </a:solidFill>
            </a:rPr>
            <a:t> 
</a:t>
          </a:r>
          <a:r>
            <a:rPr lang="en-US" cap="none" sz="1000" b="0" i="0" u="none" baseline="0">
              <a:solidFill>
                <a:srgbClr val="000000"/>
              </a:solidFill>
            </a:rPr>
            <a:t>Conforme estabelecido pelo Manual de Contabilidade Aplicada ao Setor  Público, o Patrimônio Líquido  representa o valor residual dos ativos da entidade depois de deduzidos todos seus passivos. Integram o Patrimônio Líquido o patrimônio (no caso dos órgãos da administração direta) ou capital social (no caso das empresas estatais), as reservas de capital, os ajustes de avaliação patrimonial, as reservas de lucros, as ações em tesouraria, os resultados acumulados e outros desdobramentos do saldo patrimonial.  Nesse aspecto, cumpre destacar que, na linha “Resultado Acumulado”, </a:t>
          </a:r>
          <a:r>
            <a:rPr lang="en-US" cap="none" sz="1000" b="1" i="0" u="none" baseline="0">
              <a:solidFill>
                <a:srgbClr val="000000"/>
              </a:solidFill>
            </a:rPr>
            <a:t>foram considerados os valores de ajustes de exercícios anteriores</a:t>
          </a:r>
          <a:r>
            <a:rPr lang="en-US" cap="none" sz="1000" b="0" i="0" u="none" baseline="0">
              <a:solidFill>
                <a:srgbClr val="000000"/>
              </a:solidFill>
            </a:rPr>
            <a:t>, os quais, apesar de não terem sido considerados na apuração do resultado do exercício, tiveram influência da variação do saldo do Patrimônio Líquido.
</a:t>
          </a:r>
          <a:r>
            <a:rPr lang="en-US" cap="none" sz="1000" b="0" i="0" u="none" baseline="0">
              <a:solidFill>
                <a:srgbClr val="000000"/>
              </a:solidFill>
            </a:rPr>
            <a:t> 
</a:t>
          </a:r>
          <a:r>
            <a:rPr lang="en-US" cap="none" sz="1000" b="0" i="0" u="none" baseline="0">
              <a:solidFill>
                <a:srgbClr val="000000"/>
              </a:solidFill>
            </a:rPr>
            <a:t> É preciso enfatizar que a Administrão Direta do Município, bem como as Autarquias e as Fundações Públicas,  seguem as normas da Lei Federal nº  4.320/64, não apresentando no seu balanço as nomenclaturas previstas na Lei Federal nº 6.404/76. Assim, em vez de "Resultado Acumulado", o Município utiliza a nomenclatura de "Superávit ou Déficit do Exercício".
</a:t>
          </a:r>
          <a:r>
            <a:rPr lang="en-US" cap="none" sz="1000" b="0" i="0" u="none" baseline="0">
              <a:solidFill>
                <a:srgbClr val="000000"/>
              </a:solidFill>
            </a:rPr>
            <a:t>  
</a:t>
          </a:r>
          <a:r>
            <a:rPr lang="en-US" cap="none" sz="1000" b="0" i="0" u="none" baseline="0">
              <a:solidFill>
                <a:srgbClr val="000000"/>
              </a:solidFill>
            </a:rPr>
            <a:t>O Sistema de Previdência, por força da Lei Municipal nº 2374/2008, está sob a gestão do Fundo de Previdência dos Servidores do Município - FPSM, sendo que seus registros contábeis estão em conformidade com as Normas do Ministério da Previdência Social e apartados das demais contas do Município.
</a:t>
          </a:r>
          <a:r>
            <a:rPr lang="en-US" cap="none" sz="1000" b="0" i="0" u="none" baseline="0">
              <a:solidFill>
                <a:srgbClr val="000000"/>
              </a:solidFill>
            </a:rPr>
            <a:t> 
</a:t>
          </a:r>
          <a:r>
            <a:rPr lang="en-US" cap="none" sz="1000" b="0" i="0" u="none" baseline="0">
              <a:solidFill>
                <a:srgbClr val="000000"/>
              </a:solidFill>
            </a:rPr>
            <a:t> Em termos consolidados, a evolução do Patrimônio Líquido do Município, nos últimos três exercícios, demonstrada para o período de 2020 a 2022, aponta que o saldo patrimonial aumentou de R$ 84.276.532,63 em 31.12.2020 para R$ 132.903.818,88 em 31.12.2022.   
</a:t>
          </a:r>
          <a:r>
            <a:rPr lang="en-US" cap="none" sz="1000" b="0" i="0" u="none" baseline="0">
              <a:solidFill>
                <a:srgbClr val="000000"/>
              </a:solidFill>
            </a:rPr>
            <a:t> 
</a:t>
          </a:r>
          <a:r>
            <a:rPr lang="en-US" cap="none" sz="1000" b="0" i="0" u="none" baseline="0">
              <a:solidFill>
                <a:srgbClr val="000000"/>
              </a:solidFill>
            </a:rPr>
            <a:t>Ainda, conforme pode ser observado, o Município encerrou as contas de 2022 com superavit patrimonial, cujo principal fator foi   ___________________________________.</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31</xdr:row>
      <xdr:rowOff>123825</xdr:rowOff>
    </xdr:from>
    <xdr:to>
      <xdr:col>3</xdr:col>
      <xdr:colOff>885825</xdr:colOff>
      <xdr:row>37</xdr:row>
      <xdr:rowOff>133350</xdr:rowOff>
    </xdr:to>
    <xdr:sp>
      <xdr:nvSpPr>
        <xdr:cNvPr id="1" name="Rectangle 1"/>
        <xdr:cNvSpPr>
          <a:spLocks/>
        </xdr:cNvSpPr>
      </xdr:nvSpPr>
      <xdr:spPr>
        <a:xfrm>
          <a:off x="95250" y="5467350"/>
          <a:ext cx="6591300" cy="9810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rPr>
            <a:t>O demonstrativo acima tem por objetivo destacar as origens e as aplicações dos recursos obtidos, pelo Município, com a alienação de ativos, ocorridos nos 3 exercícios anteriores ao da edição da LDO  (2020,  2021 e 2022). 
</a:t>
          </a:r>
          <a:r>
            <a:rPr lang="en-US" cap="none" sz="1000" b="0" i="0" u="none" baseline="0">
              <a:solidFill>
                <a:srgbClr val="000000"/>
              </a:solidFill>
            </a:rPr>
            <a:t>
</a:t>
          </a:r>
          <a:r>
            <a:rPr lang="en-US" cap="none" sz="1000" b="0" i="0" u="none" baseline="0">
              <a:solidFill>
                <a:srgbClr val="000000"/>
              </a:solidFill>
            </a:rPr>
            <a:t>Os dados apresentados permitem afirmar que o Município tem aplicado corretamente os recursos obtidos, na forma prescrita pelo art. 44 da Lei de Responsabilidade Fiscal que prescreve que "é vedada a aplicação da receita de capital derivada da alienação de bens e direitos que integram o patrimônio público para o financiamento de despesa corrente, salvo se destinada por lei aos regimes de previdência, geral e próprio dos servidores públicos."
</a:t>
          </a:r>
          <a:r>
            <a:rPr lang="en-US" cap="none" sz="1000" b="0" i="0" u="none" baseline="0">
              <a:solidFill>
                <a:srgbClr val="00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160</xdr:row>
      <xdr:rowOff>85725</xdr:rowOff>
    </xdr:from>
    <xdr:to>
      <xdr:col>6</xdr:col>
      <xdr:colOff>38100</xdr:colOff>
      <xdr:row>182</xdr:row>
      <xdr:rowOff>19050</xdr:rowOff>
    </xdr:to>
    <xdr:sp>
      <xdr:nvSpPr>
        <xdr:cNvPr id="1" name="Rectangle 1_0"/>
        <xdr:cNvSpPr>
          <a:spLocks/>
        </xdr:cNvSpPr>
      </xdr:nvSpPr>
      <xdr:spPr>
        <a:xfrm>
          <a:off x="228600" y="24612600"/>
          <a:ext cx="7353300" cy="30765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rPr>
            <a:t>Este demonstrativo, visa a atender o estabelecido no art. 4</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2</a:t>
          </a:r>
          <a:r>
            <a:rPr lang="en-US" cap="none" sz="1000" b="0" i="0" u="none" baseline="0">
              <a:solidFill>
                <a:srgbClr val="000000"/>
              </a:solidFill>
            </a:rPr>
            <a:t>°</a:t>
          </a:r>
          <a:r>
            <a:rPr lang="en-US" cap="none" sz="1000" b="0" i="0" u="none" baseline="0">
              <a:solidFill>
                <a:srgbClr val="000000"/>
              </a:solidFill>
            </a:rPr>
            <a:t>, inciso IV, alínea “a”, da Lei de Responsabilidade Fiscal – LRF, o qual determina que o Anexo de Metas Fiscais conterá a avaliação da situação financeira e atuarial do Regime Próprio de Previdência dos Servidores – RPPS.</a:t>
          </a:r>
          <a:r>
            <a:rPr lang="en-US" cap="none" sz="1100" b="0" i="0" u="none" baseline="0">
              <a:solidFill>
                <a:srgbClr val="000000"/>
              </a:solidFill>
            </a:rPr>
            <a:t>O objetivo principal é dar transparência à situação financeira e atuarial do RPPS para uma melhor avaliação do seu impacto nas metas fiscais fixadas, além de orientar a elaboração da LOA.
</a:t>
          </a:r>
          <a:r>
            <a:rPr lang="en-US" cap="none" sz="1000" b="0" i="0" u="none" baseline="0">
              <a:solidFill>
                <a:srgbClr val="000000"/>
              </a:solidFill>
            </a:rPr>
            <a:t> 
</a:t>
          </a:r>
          <a:r>
            <a:rPr lang="en-US" cap="none" sz="1000" b="0" i="0" u="none" baseline="0">
              <a:solidFill>
                <a:srgbClr val="000000"/>
              </a:solidFill>
            </a:rPr>
            <a:t>Segundo a Portaria MPS 464/2018, o equilíbrio financeiro representa a garantia de equivalência entre as receitas auferidas e as obrigações dos RPPS, em cada exercício financeiro, ou seja, o equilíbrio financeiro é atingido quando o que se arrecada dos participantes do sistema previdenciário é suficiente para custear os benefícios por ele assegurados. 
</a:t>
          </a:r>
          <a:r>
            <a:rPr lang="en-US" cap="none" sz="1000" b="0" i="0" u="none" baseline="0">
              <a:solidFill>
                <a:srgbClr val="000000"/>
              </a:solidFill>
            </a:rPr>
            <a:t> 
</a:t>
          </a:r>
          <a:r>
            <a:rPr lang="en-US" cap="none" sz="1000" b="0" i="0" u="none" baseline="0">
              <a:solidFill>
                <a:srgbClr val="000000"/>
              </a:solidFill>
            </a:rPr>
            <a:t>O equilíbrio atuarial, por sua vez, representa a garantia de equivalência, a valor presente, entre o fluxo das receitas estimadas e das obrigações projetadas, apuradas atuarialmente, a longo prazo, devendo as alíquotas de contribuição do sistema ser definidas a partir do cálculo atuarial que leve em consideração uma série de critérios, como a expectativa de vida dos segurados e o valor dos benefícios de responsabilidade do respectivo RPPS, segundo a sua legislação.
</a:t>
          </a:r>
          <a:r>
            <a:rPr lang="en-US" cap="none" sz="1000" b="0" i="0" u="none" baseline="0">
              <a:solidFill>
                <a:srgbClr val="000000"/>
              </a:solidFill>
            </a:rPr>
            <a:t> 
</a:t>
          </a:r>
          <a:r>
            <a:rPr lang="en-US" cap="none" sz="1000" b="0" i="0" u="none" baseline="0">
              <a:solidFill>
                <a:srgbClr val="000000"/>
              </a:solidFill>
            </a:rPr>
            <a:t>Nesse contexto, os dados acima apresentados tiveram em como base:
</a:t>
          </a:r>
          <a:r>
            <a:rPr lang="en-US" cap="none" sz="1000" b="0" i="0" u="none" baseline="0">
              <a:solidFill>
                <a:srgbClr val="000000"/>
              </a:solidFill>
            </a:rPr>
            <a:t>a) o Anexo 4 do Relatório Resumido da Execução Orçamentária (RGF) - Demonstrativo das Receitas e Despesas Previdenciárias do Regime Próprio de Previdência dos Servidores, publicado no último bimestre dos exercícios de 2019, 2021 e 2021; e
</a:t>
          </a:r>
          <a:r>
            <a:rPr lang="en-US" cap="none" sz="1000" b="0" i="0" u="none" baseline="0">
              <a:solidFill>
                <a:srgbClr val="000000"/>
              </a:solidFill>
            </a:rPr>
            <a:t>b) o Anexo 10 do Relatório Resumido da Execução Orçamentária (RREO) - Demonstrativo da Projeção Atuarial do Regime de Previdência, publicado no último bimestre do exercício de 2021.
</a:t>
          </a:r>
          <a:r>
            <a:rPr lang="en-US" cap="none" sz="1000" b="0" i="0" u="none" baseline="0">
              <a:solidFill>
                <a:srgbClr val="000000"/>
              </a:solidFill>
            </a:rPr>
            <a:t> 
</a:t>
          </a:r>
        </a:p>
      </xdr:txBody>
    </xdr:sp>
    <xdr:clientData/>
  </xdr:twoCellAnchor>
  <xdr:twoCellAnchor editAs="absolute">
    <xdr:from>
      <xdr:col>0</xdr:col>
      <xdr:colOff>209550</xdr:colOff>
      <xdr:row>89</xdr:row>
      <xdr:rowOff>219075</xdr:rowOff>
    </xdr:from>
    <xdr:to>
      <xdr:col>3</xdr:col>
      <xdr:colOff>923925</xdr:colOff>
      <xdr:row>140</xdr:row>
      <xdr:rowOff>76200</xdr:rowOff>
    </xdr:to>
    <xdr:pic>
      <xdr:nvPicPr>
        <xdr:cNvPr id="2" name="Figura 1_0"/>
        <xdr:cNvPicPr preferRelativeResize="1">
          <a:picLocks noChangeAspect="1"/>
        </xdr:cNvPicPr>
      </xdr:nvPicPr>
      <xdr:blipFill>
        <a:blip r:embed="rId1"/>
        <a:stretch>
          <a:fillRect/>
        </a:stretch>
      </xdr:blipFill>
      <xdr:spPr>
        <a:xfrm>
          <a:off x="209550" y="14163675"/>
          <a:ext cx="6734175" cy="7581900"/>
        </a:xfrm>
        <a:prstGeom prst="rect">
          <a:avLst/>
        </a:prstGeom>
        <a:blipFill>
          <a:blip r:embed=""/>
          <a:srcRect/>
          <a:stretch>
            <a:fillRect/>
          </a:stretch>
        </a:blipFill>
        <a:ln w="9525" cmpd="sng">
          <a:noFill/>
        </a:ln>
      </xdr:spPr>
    </xdr:pic>
    <xdr:clientData/>
  </xdr:twoCellAnchor>
  <xdr:twoCellAnchor editAs="absolute">
    <xdr:from>
      <xdr:col>0</xdr:col>
      <xdr:colOff>228600</xdr:colOff>
      <xdr:row>139</xdr:row>
      <xdr:rowOff>85725</xdr:rowOff>
    </xdr:from>
    <xdr:to>
      <xdr:col>3</xdr:col>
      <xdr:colOff>895350</xdr:colOff>
      <xdr:row>154</xdr:row>
      <xdr:rowOff>104775</xdr:rowOff>
    </xdr:to>
    <xdr:pic>
      <xdr:nvPicPr>
        <xdr:cNvPr id="3" name="Figura 2_0"/>
        <xdr:cNvPicPr preferRelativeResize="1">
          <a:picLocks noChangeAspect="1"/>
        </xdr:cNvPicPr>
      </xdr:nvPicPr>
      <xdr:blipFill>
        <a:blip r:embed="rId2"/>
        <a:stretch>
          <a:fillRect/>
        </a:stretch>
      </xdr:blipFill>
      <xdr:spPr>
        <a:xfrm>
          <a:off x="228600" y="21612225"/>
          <a:ext cx="6686550" cy="2162175"/>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6</xdr:col>
      <xdr:colOff>466725</xdr:colOff>
      <xdr:row>57</xdr:row>
      <xdr:rowOff>9525</xdr:rowOff>
    </xdr:to>
    <xdr:sp>
      <xdr:nvSpPr>
        <xdr:cNvPr id="1" name="Rectangle 1"/>
        <xdr:cNvSpPr>
          <a:spLocks/>
        </xdr:cNvSpPr>
      </xdr:nvSpPr>
      <xdr:spPr>
        <a:xfrm>
          <a:off x="0" y="8963025"/>
          <a:ext cx="6848475" cy="4962525"/>
        </a:xfrm>
        <a:prstGeom prst="rect">
          <a:avLst/>
        </a:prstGeom>
        <a:solidFill>
          <a:srgbClr val="FFFFFF"/>
        </a:solidFill>
        <a:ln w="9360" cmpd="sng">
          <a:solidFill>
            <a:srgbClr val="000000"/>
          </a:solidFill>
          <a:headEnd type="none"/>
          <a:tailEnd type="none"/>
        </a:ln>
      </xdr:spPr>
      <xdr:txBody>
        <a:bodyPr vertOverflow="clip" wrap="square" lIns="36360" tIns="2268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rPr>
            <a:t>Esse demonstrativo tem por objetivo mensurar os valores serão objeto de renúncia fiscal de receita nos exercícios que compreenderão o triênio a partir da vigência da LDO e estabelecendo ainda as medidas de compensação que serão adotadas, visando a dar cumprimento ao disposto no art. 4º, </a:t>
          </a:r>
          <a:r>
            <a:rPr lang="en-US" cap="none" sz="1100" b="0" i="0" u="none" baseline="0">
              <a:solidFill>
                <a:srgbClr val="000000"/>
              </a:solidFill>
            </a:rPr>
            <a:t>§</a:t>
          </a:r>
          <a:r>
            <a:rPr lang="en-US" cap="none" sz="1100" b="0" i="0" u="none" baseline="0">
              <a:solidFill>
                <a:srgbClr val="000000"/>
              </a:solidFill>
            </a:rPr>
            <a:t> 2º, inciso V da LRF.
</a:t>
          </a:r>
          <a:r>
            <a:rPr lang="en-US" cap="none" sz="1100" b="0" i="0" u="none" baseline="0">
              <a:solidFill>
                <a:srgbClr val="000000"/>
              </a:solidFill>
            </a:rPr>
            <a:t> 
</a:t>
          </a:r>
          <a:r>
            <a:rPr lang="en-US" cap="none" sz="1100" b="0" i="0" u="none" baseline="0">
              <a:solidFill>
                <a:srgbClr val="000000"/>
              </a:solidFill>
            </a:rPr>
            <a:t>A concessão de incentivos fiscais é um instrumento que visa, entre outros objetivos, fomentar o desenvolvimento econômico do Município, atraindo novas empresas ou ampliando as já existentes, de modo a gerar novos empregos e aumentar a renda per capita da população. Já os benefícios fiscais se prestam para reduzir as desigualdades sociais, desonerando determinados segmentos da sociedade do pagamento de alguns tributos, como é o caso da isenção de iptu para os aposentados de baixa renda. Diante disso pode-se afirmar que, com a devida responsabilidade, é salutar o uso desses instrumentos que tem objetivos econômicos e sociais.
</a:t>
          </a:r>
          <a:r>
            <a:rPr lang="en-US" cap="none" sz="1100" b="0" i="0" u="none" baseline="0">
              <a:solidFill>
                <a:srgbClr val="000000"/>
              </a:solidFill>
            </a:rPr>
            <a:t> 
</a:t>
          </a:r>
          <a:r>
            <a:rPr lang="en-US" cap="none" sz="1100" b="0" i="0" u="none" baseline="0">
              <a:solidFill>
                <a:srgbClr val="000000"/>
              </a:solidFill>
            </a:rPr>
            <a:t>O tema é destacado pela Lei de Responsabilidade Fiscal (LRF) que disciplinou a sua aplicação. Como sabido,  os entes da federação têm usado esses institutos como forma de controle dos desequilíbrios econômicos e sociais, e, por isso é tratado em todo o arcabouço jurídico brasileiro: constitucional, legal e infralegal.  
</a:t>
          </a:r>
          <a:r>
            <a:rPr lang="en-US" cap="none" sz="1100" b="0" i="0" u="none" baseline="0">
              <a:solidFill>
                <a:srgbClr val="000000"/>
              </a:solidFill>
            </a:rPr>
            <a:t> 
</a:t>
          </a:r>
          <a:r>
            <a:rPr lang="en-US" cap="none" sz="1100" b="0" i="0" u="none" baseline="0">
              <a:solidFill>
                <a:srgbClr val="000000"/>
              </a:solidFill>
            </a:rPr>
            <a:t>A Constituição Federal em seus artigos 70 e 165, </a:t>
          </a:r>
          <a:r>
            <a:rPr lang="en-US" cap="none" sz="1100" b="0" i="0" u="none" baseline="0">
              <a:solidFill>
                <a:srgbClr val="000000"/>
              </a:solidFill>
            </a:rPr>
            <a:t>§</a:t>
          </a:r>
          <a:r>
            <a:rPr lang="en-US" cap="none" sz="1100" b="0" i="0" u="none" baseline="0">
              <a:solidFill>
                <a:srgbClr val="000000"/>
              </a:solidFill>
            </a:rPr>
            <a:t> 6º, estabelece o controle sobre as renúncias de receita, com o nítido objetivo de promover o equilíbrio fiscal.  Por sua vez, a LRF estabeleceu em seu artigo 11 a necessidade de instituição, previsão e efetiva arrecadação de todos os tributos de competência constitucional dos entes da Federação, como requisito essencial da responsabilidade na gestão fiscal. 
</a:t>
          </a:r>
          <a:r>
            <a:rPr lang="en-US" cap="none" sz="1100" b="0" i="0" u="none" baseline="0">
              <a:solidFill>
                <a:srgbClr val="000000"/>
              </a:solidFill>
            </a:rPr>
            <a:t> 
</a:t>
          </a:r>
          <a:r>
            <a:rPr lang="en-US" cap="none" sz="1100" b="0" i="0" u="none" baseline="0">
              <a:solidFill>
                <a:srgbClr val="000000"/>
              </a:solidFill>
            </a:rPr>
            <a:t>Nesse contexto, e conforme as diretrizes estabelecidas no Projeto de Lei das Diretrizes Orçamentárias, a estimativa de renúncia de receita deverá estar inserida na metodologia de cálculo da projeção da arrecadação efetiva dos tributos municipais. 
</a:t>
          </a:r>
          <a:r>
            <a:rPr lang="en-US" cap="none" sz="1100" b="0" i="0" u="none" baseline="0">
              <a:solidFill>
                <a:srgbClr val="000000"/>
              </a:solidFill>
            </a:rPr>
            <a:t> 
</a:t>
          </a:r>
          <a:r>
            <a:rPr lang="en-US" cap="none" sz="1100" b="0" i="0" u="none" baseline="0">
              <a:solidFill>
                <a:srgbClr val="000000"/>
              </a:solidFill>
            </a:rPr>
            <a:t>Dessa forma, fica evidenciado que a Administração opta pela medida de compensação prevista no art. 14, I, da LRF, o qual determina que a renúncia deve ser considerada na estimativa de receita da lei orçamentária e de que não afetará as metas de resultados fiscais. Consequentemente, as renúncias contempladas nesse demonstrativo não precisarão ser compensadas pelo </a:t>
          </a:r>
          <a:r>
            <a:rPr lang="en-US" cap="none" sz="1100" b="0" i="1" u="none" baseline="0">
              <a:solidFill>
                <a:srgbClr val="000000"/>
              </a:solidFill>
            </a:rPr>
            <a:t>aumento de receita, proveniente da elevação de alíquotas, ampliação da base de cálculo, majoração ou criação de tributo ou contribuição</a:t>
          </a:r>
          <a:r>
            <a:rPr lang="en-US" cap="none" sz="1100" b="0" i="0" u="none" baseline="0">
              <a:solidFill>
                <a:srgbClr val="000000"/>
              </a:solidFill>
            </a:rPr>
            <a:t>, pois a compensação já estará ocorrendo no âmbito do processo orçamentário de estimativa das respectivas receitas.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enifer\Leis%20Or&#231;ament&#225;rias\Lei%20de%20Diretrizes%20Or&#231;ament&#225;rias\LDO%202023\Anexos_da_LDO_-_2023_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ilh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Plan7"/>
  <dimension ref="A7:J26"/>
  <sheetViews>
    <sheetView showGridLines="0" zoomScale="120" zoomScaleNormal="120" zoomScaleSheetLayoutView="70" zoomScalePageLayoutView="0" workbookViewId="0" topLeftCell="A7">
      <selection activeCell="J23" sqref="J23"/>
    </sheetView>
  </sheetViews>
  <sheetFormatPr defaultColWidth="8.57421875" defaultRowHeight="12.75"/>
  <cols>
    <col min="1" max="1" width="63.57421875" style="1" customWidth="1"/>
    <col min="2" max="2" width="13.57421875" style="1" customWidth="1"/>
    <col min="3" max="3" width="13.28125" style="1" customWidth="1"/>
    <col min="4" max="4" width="12.7109375" style="1" customWidth="1"/>
    <col min="5" max="5" width="14.28125" style="1" customWidth="1"/>
    <col min="6" max="6" width="15.57421875" style="1" customWidth="1"/>
    <col min="7" max="7" width="14.8515625" style="1" customWidth="1"/>
    <col min="8" max="16384" width="8.57421875" style="1" customWidth="1"/>
  </cols>
  <sheetData>
    <row r="1" ht="12" hidden="1"/>
    <row r="2" ht="12" hidden="1"/>
    <row r="3" ht="12" hidden="1"/>
    <row r="4" ht="12" hidden="1"/>
    <row r="5" ht="12" hidden="1"/>
    <row r="6" ht="15.75" customHeight="1" hidden="1"/>
    <row r="7" spans="1:10" ht="12">
      <c r="A7" s="537" t="s">
        <v>0</v>
      </c>
      <c r="B7" s="537"/>
      <c r="C7" s="537"/>
      <c r="D7" s="537"/>
      <c r="E7" s="537"/>
      <c r="F7" s="537"/>
      <c r="G7" s="537"/>
      <c r="H7" s="537"/>
      <c r="I7" s="537"/>
      <c r="J7" s="537"/>
    </row>
    <row r="8" spans="1:10" ht="12">
      <c r="A8" s="538" t="s">
        <v>1</v>
      </c>
      <c r="B8" s="538"/>
      <c r="C8" s="538"/>
      <c r="D8" s="538"/>
      <c r="E8" s="538"/>
      <c r="F8" s="538"/>
      <c r="G8" s="538"/>
      <c r="H8" s="538"/>
      <c r="I8" s="538"/>
      <c r="J8" s="538"/>
    </row>
    <row r="9" spans="1:10" ht="21" customHeight="1">
      <c r="A9" s="539" t="s">
        <v>2</v>
      </c>
      <c r="B9" s="539"/>
      <c r="C9" s="539"/>
      <c r="D9" s="539"/>
      <c r="E9" s="539"/>
      <c r="F9" s="539"/>
      <c r="G9" s="539"/>
      <c r="H9" s="539"/>
      <c r="I9" s="539"/>
      <c r="J9" s="539"/>
    </row>
    <row r="10" spans="1:10" ht="25.5" customHeight="1">
      <c r="A10" s="2" t="s">
        <v>3</v>
      </c>
      <c r="B10" s="2">
        <v>2021</v>
      </c>
      <c r="C10" s="2">
        <f>B10+1</f>
        <v>2022</v>
      </c>
      <c r="D10" s="2">
        <f>C10+1</f>
        <v>2023</v>
      </c>
      <c r="E10" s="2">
        <f>D10+1</f>
        <v>2024</v>
      </c>
      <c r="F10" s="2">
        <f>E10+1</f>
        <v>2025</v>
      </c>
      <c r="G10" s="2">
        <f>F10+1</f>
        <v>2026</v>
      </c>
      <c r="H10" s="3"/>
      <c r="I10" s="3"/>
      <c r="J10" s="3"/>
    </row>
    <row r="11" spans="1:7" ht="12.75">
      <c r="A11" s="4" t="s">
        <v>4</v>
      </c>
      <c r="B11" s="5">
        <v>0.1006</v>
      </c>
      <c r="C11" s="6">
        <v>0.0578</v>
      </c>
      <c r="D11" s="6">
        <v>0.0498</v>
      </c>
      <c r="E11" s="7">
        <v>0.0392</v>
      </c>
      <c r="F11" s="7">
        <v>0.036</v>
      </c>
      <c r="G11" s="7">
        <v>0.035</v>
      </c>
    </row>
    <row r="12" spans="1:7" ht="12.75">
      <c r="A12" s="4" t="s">
        <v>5</v>
      </c>
      <c r="B12" s="5">
        <v>0.046</v>
      </c>
      <c r="C12" s="6">
        <v>0.029</v>
      </c>
      <c r="D12" s="6">
        <v>0.0219</v>
      </c>
      <c r="E12" s="7">
        <v>0.0128</v>
      </c>
      <c r="F12" s="7">
        <v>0.0181</v>
      </c>
      <c r="G12" s="7">
        <v>0.019</v>
      </c>
    </row>
    <row r="13" spans="1:7" ht="12.75">
      <c r="A13" s="8" t="s">
        <v>6</v>
      </c>
      <c r="B13" s="9">
        <f>IF(Projeções!D122=0,"0",((Projeções!E122/Projeções!D122)-1)-B11-B18)</f>
        <v>-0.09874789439762852</v>
      </c>
      <c r="C13" s="9">
        <f>IF(Projeções!E122=0,"0",((Projeções!F122/Projeções!E122)-1)-C11-C18)</f>
        <v>0.036628208351660335</v>
      </c>
      <c r="D13" s="9">
        <f>IF(Projeções!F122=0,"0",((Projeções!G122/Projeções!F122)-1)-D11-D18)</f>
        <v>-0.04933077204316006</v>
      </c>
      <c r="E13" s="6">
        <v>0.0152</v>
      </c>
      <c r="F13" s="6">
        <v>0.0152</v>
      </c>
      <c r="G13" s="6">
        <v>0.0152</v>
      </c>
    </row>
    <row r="14" spans="1:7" ht="12.75">
      <c r="A14" s="8" t="s">
        <v>7</v>
      </c>
      <c r="B14" s="9">
        <f>IF(Projeções!D132=0,"0",((Projeções!E132/Projeções!D132)-1)-B11-B12)</f>
        <v>0.06737946616757513</v>
      </c>
      <c r="C14" s="9">
        <f>IF(Projeções!E132=0,"0",((Projeções!F132/Projeções!E132)-1)-C11-C12)</f>
        <v>0.2073966549081916</v>
      </c>
      <c r="D14" s="9">
        <f>IF(Projeções!F132=0,"0",((Projeções!G132/Projeções!F132)-1)-D11-D12)</f>
        <v>-0.0802203031260167</v>
      </c>
      <c r="E14" s="6">
        <f aca="true" t="shared" si="0" ref="E14:G17">(B14+C14+D14)/3</f>
        <v>0.06485193931658334</v>
      </c>
      <c r="F14" s="6">
        <f t="shared" si="0"/>
        <v>0.06400943036625274</v>
      </c>
      <c r="G14" s="6">
        <f t="shared" si="0"/>
        <v>0.016213688852273127</v>
      </c>
    </row>
    <row r="15" spans="1:7" ht="12.75">
      <c r="A15" s="8" t="s">
        <v>8</v>
      </c>
      <c r="B15" s="9">
        <f>IF(Projeções!D9=0,"0",((Projeções!E9/Projeções!D9)-1)-B11-B12)</f>
        <v>0.06834981293805716</v>
      </c>
      <c r="C15" s="9">
        <f>IF(Projeções!E9=0,"0",((Projeções!F9/Projeções!E9)-1)-C11-C12)</f>
        <v>0.11713299846277003</v>
      </c>
      <c r="D15" s="9">
        <f>IF(Projeções!F9=0,"0",((Projeções!G9/Projeções!F9)-1)-D11-D12)</f>
        <v>0.038623827233784755</v>
      </c>
      <c r="E15" s="6">
        <f t="shared" si="0"/>
        <v>0.07470221287820399</v>
      </c>
      <c r="F15" s="6">
        <f t="shared" si="0"/>
        <v>0.0768196795249196</v>
      </c>
      <c r="G15" s="6">
        <f t="shared" si="0"/>
        <v>0.06338190654563612</v>
      </c>
    </row>
    <row r="16" spans="1:7" ht="12.75">
      <c r="A16" s="8" t="s">
        <v>9</v>
      </c>
      <c r="B16" s="9">
        <f>IF(Projeções!D38=0,"0",((Projeções!E38/Projeções!D38)-1)-B11-B12)</f>
        <v>-0.07808827095684438</v>
      </c>
      <c r="C16" s="9">
        <f>IF(Projeções!E38=0,"0",((Projeções!F38/Projeções!E38)-1)-C11-C12)</f>
        <v>0.13516176851237516</v>
      </c>
      <c r="D16" s="9">
        <f>IF(Projeções!F38=0,"0",((Projeções!G38/Projeções!F38)-1)-D11-D12)</f>
        <v>-0.01447720783469143</v>
      </c>
      <c r="E16" s="6">
        <f t="shared" si="0"/>
        <v>0.01419876324027978</v>
      </c>
      <c r="F16" s="6">
        <f t="shared" si="0"/>
        <v>0.044961107972654506</v>
      </c>
      <c r="G16" s="6">
        <f t="shared" si="0"/>
        <v>0.014894221126080952</v>
      </c>
    </row>
    <row r="17" spans="1:7" ht="12.75">
      <c r="A17" s="8" t="s">
        <v>10</v>
      </c>
      <c r="B17" s="9">
        <f>IF(Projeções!D50=0,"0",((Projeções!E50/Projeções!D50)-1)-B11-B12)</f>
        <v>0.1443534587436715</v>
      </c>
      <c r="C17" s="9">
        <f>IF(Projeções!E50=0,"0",((Projeções!F50/Projeções!E50)-1)-C11-C12)</f>
        <v>-0.16245834883147114</v>
      </c>
      <c r="D17" s="9">
        <f>IF(Projeções!F50=0,"0",((Projeções!G50/Projeções!F50)-1)-D11-D12)</f>
        <v>-0.11933257670449017</v>
      </c>
      <c r="E17" s="6">
        <f t="shared" si="0"/>
        <v>-0.045812488930763264</v>
      </c>
      <c r="F17" s="6">
        <f t="shared" si="0"/>
        <v>-0.10920113815557486</v>
      </c>
      <c r="G17" s="6">
        <f t="shared" si="0"/>
        <v>-0.09144873459694276</v>
      </c>
    </row>
    <row r="18" spans="1:7" s="12" customFormat="1" ht="12.75">
      <c r="A18" s="4" t="s">
        <v>11</v>
      </c>
      <c r="B18" s="10">
        <v>0</v>
      </c>
      <c r="C18" s="10">
        <v>0.0403</v>
      </c>
      <c r="D18" s="10">
        <v>0.04</v>
      </c>
      <c r="E18" s="11">
        <v>0.037200000000000004</v>
      </c>
      <c r="F18" s="11">
        <v>0</v>
      </c>
      <c r="G18" s="11">
        <v>0</v>
      </c>
    </row>
    <row r="19" spans="1:7" s="12" customFormat="1" ht="12.75">
      <c r="A19" s="4" t="s">
        <v>12</v>
      </c>
      <c r="B19" s="10">
        <v>0</v>
      </c>
      <c r="C19" s="10">
        <v>0</v>
      </c>
      <c r="D19" s="10">
        <v>0.04</v>
      </c>
      <c r="E19" s="10">
        <v>0.037200000000000004</v>
      </c>
      <c r="F19" s="10">
        <v>0</v>
      </c>
      <c r="G19" s="10">
        <v>0</v>
      </c>
    </row>
    <row r="20" spans="1:7" ht="12.75">
      <c r="A20" s="8" t="s">
        <v>13</v>
      </c>
      <c r="B20" s="9">
        <f>IF(Projeções!D138=0,"0",((Projeções!E138/Projeções!D138)-1)-B11-B12)</f>
        <v>1.571128206819959</v>
      </c>
      <c r="C20" s="9">
        <f>IF(Projeções!E138=0,"0",((Projeções!F138/Projeções!E138)-1)-C11-C12)</f>
        <v>0.38990391670479413</v>
      </c>
      <c r="D20" s="9">
        <f>IF(Projeções!F138=0,"0",((Projeções!G138/Projeções!F138)-1)-D11-D12)</f>
        <v>-0.4418055251226911</v>
      </c>
      <c r="E20" s="6">
        <f>(B20+C20+D20)/3</f>
        <v>0.5064088661340207</v>
      </c>
      <c r="F20" s="6">
        <f>(C20+D20+E20)/3</f>
        <v>0.1515024192387079</v>
      </c>
      <c r="G20" s="6">
        <f>(D20+E20+F20)/3</f>
        <v>0.07203525341667917</v>
      </c>
    </row>
    <row r="21" spans="1:7" ht="12.75">
      <c r="A21" s="8" t="s">
        <v>14</v>
      </c>
      <c r="B21" s="13">
        <v>0.0915</v>
      </c>
      <c r="C21" s="13">
        <v>0.1365</v>
      </c>
      <c r="D21" s="6">
        <v>0.12</v>
      </c>
      <c r="E21" s="7">
        <v>0.095</v>
      </c>
      <c r="F21" s="7">
        <v>0.09</v>
      </c>
      <c r="G21" s="7">
        <v>0.0863</v>
      </c>
    </row>
    <row r="22" spans="1:7" ht="12.75">
      <c r="A22" s="8" t="s">
        <v>15</v>
      </c>
      <c r="B22" s="14">
        <v>5.39</v>
      </c>
      <c r="C22" s="14">
        <v>5.16</v>
      </c>
      <c r="D22" s="14">
        <v>5</v>
      </c>
      <c r="E22" s="14">
        <v>5.08</v>
      </c>
      <c r="F22" s="14">
        <v>5.15</v>
      </c>
      <c r="G22" s="14">
        <v>5.2</v>
      </c>
    </row>
    <row r="23" spans="1:7" ht="14.25">
      <c r="A23" s="15"/>
      <c r="B23" s="15"/>
      <c r="C23" s="16"/>
      <c r="D23" s="16"/>
      <c r="E23" s="16"/>
      <c r="F23" s="16"/>
      <c r="G23" s="16"/>
    </row>
    <row r="24" spans="1:7" ht="12">
      <c r="A24" s="540"/>
      <c r="B24" s="540"/>
      <c r="C24" s="540"/>
      <c r="D24" s="540"/>
      <c r="E24" s="540"/>
      <c r="F24" s="540"/>
      <c r="G24" s="540"/>
    </row>
    <row r="25" spans="1:8" ht="12">
      <c r="A25" s="540"/>
      <c r="B25" s="540"/>
      <c r="C25" s="540"/>
      <c r="D25" s="540"/>
      <c r="E25" s="540"/>
      <c r="F25" s="540"/>
      <c r="G25" s="540"/>
      <c r="H25" s="17"/>
    </row>
    <row r="26" spans="1:8" ht="12">
      <c r="A26" s="540"/>
      <c r="B26" s="540"/>
      <c r="C26" s="540"/>
      <c r="D26" s="540"/>
      <c r="E26" s="540"/>
      <c r="F26" s="540"/>
      <c r="G26" s="540"/>
      <c r="H26" s="17"/>
    </row>
  </sheetData>
  <sheetProtection selectLockedCells="1" selectUnlockedCells="1"/>
  <mergeCells count="4">
    <mergeCell ref="A7:J7"/>
    <mergeCell ref="A8:J8"/>
    <mergeCell ref="A9:J9"/>
    <mergeCell ref="A24:G26"/>
  </mergeCells>
  <printOptions gridLines="1"/>
  <pageMargins left="0" right="0" top="0.39375" bottom="0.19652777777777777" header="0.5118055555555555" footer="0.5118055555555555"/>
  <pageSetup horizontalDpi="300" verticalDpi="300" orientation="landscape" paperSize="9" scale="70"/>
  <colBreaks count="1" manualBreakCount="1">
    <brk id="8" max="65535" man="1"/>
  </colBreaks>
  <drawing r:id="rId1"/>
</worksheet>
</file>

<file path=xl/worksheets/sheet10.xml><?xml version="1.0" encoding="utf-8"?>
<worksheet xmlns="http://schemas.openxmlformats.org/spreadsheetml/2006/main" xmlns:r="http://schemas.openxmlformats.org/officeDocument/2006/relationships">
  <sheetPr codeName="Dem-3-Comp"/>
  <dimension ref="A1:L30"/>
  <sheetViews>
    <sheetView zoomScale="120" zoomScaleNormal="120" zoomScalePageLayoutView="0" workbookViewId="0" topLeftCell="A1">
      <selection activeCell="G10" sqref="G10"/>
    </sheetView>
  </sheetViews>
  <sheetFormatPr defaultColWidth="8.8515625" defaultRowHeight="12.75"/>
  <cols>
    <col min="1" max="1" width="73.00390625" style="251" customWidth="1"/>
    <col min="2" max="3" width="14.140625" style="251" customWidth="1"/>
    <col min="4" max="4" width="8.57421875" style="251" customWidth="1"/>
    <col min="5" max="5" width="12.7109375" style="251" customWidth="1"/>
    <col min="6" max="6" width="9.8515625" style="251" customWidth="1"/>
    <col min="7" max="7" width="13.7109375" style="251" customWidth="1"/>
    <col min="8" max="8" width="8.57421875" style="251" customWidth="1"/>
    <col min="9" max="9" width="13.7109375" style="251" customWidth="1"/>
    <col min="10" max="10" width="8.57421875" style="251" customWidth="1"/>
    <col min="11" max="11" width="13.7109375" style="251" customWidth="1"/>
    <col min="12" max="12" width="9.28125" style="251" customWidth="1"/>
    <col min="13" max="16384" width="8.8515625" style="251" customWidth="1"/>
  </cols>
  <sheetData>
    <row r="1" spans="1:12" ht="12.75">
      <c r="A1" s="598" t="str">
        <f>Parâmetros!A7</f>
        <v>Município de Ivoti</v>
      </c>
      <c r="B1" s="598"/>
      <c r="C1" s="598"/>
      <c r="D1" s="598"/>
      <c r="E1" s="598"/>
      <c r="F1" s="598"/>
      <c r="G1" s="598"/>
      <c r="H1" s="598"/>
      <c r="I1" s="598"/>
      <c r="J1" s="598"/>
      <c r="K1" s="598"/>
      <c r="L1" s="598"/>
    </row>
    <row r="2" spans="1:12" ht="12.75">
      <c r="A2" s="599" t="s">
        <v>381</v>
      </c>
      <c r="B2" s="599"/>
      <c r="C2" s="599"/>
      <c r="D2" s="599"/>
      <c r="E2" s="599"/>
      <c r="F2" s="599"/>
      <c r="G2" s="599"/>
      <c r="H2" s="599"/>
      <c r="I2" s="599"/>
      <c r="J2" s="599"/>
      <c r="K2" s="599"/>
      <c r="L2" s="599"/>
    </row>
    <row r="3" spans="1:12" ht="12.75">
      <c r="A3" s="599" t="s">
        <v>459</v>
      </c>
      <c r="B3" s="599"/>
      <c r="C3" s="599"/>
      <c r="D3" s="599"/>
      <c r="E3" s="599"/>
      <c r="F3" s="599"/>
      <c r="G3" s="599"/>
      <c r="H3" s="599"/>
      <c r="I3" s="599"/>
      <c r="J3" s="599"/>
      <c r="K3" s="599"/>
      <c r="L3" s="599"/>
    </row>
    <row r="4" spans="1:12" ht="12.75">
      <c r="A4" s="600" t="s">
        <v>460</v>
      </c>
      <c r="B4" s="600"/>
      <c r="C4" s="600"/>
      <c r="D4" s="600"/>
      <c r="E4" s="600"/>
      <c r="F4" s="600"/>
      <c r="G4" s="600"/>
      <c r="H4" s="600"/>
      <c r="I4" s="600"/>
      <c r="J4" s="600"/>
      <c r="K4" s="600"/>
      <c r="L4" s="600"/>
    </row>
    <row r="5" spans="1:12" ht="12.75">
      <c r="A5" s="599">
        <f>Parâmetros!E10</f>
        <v>2024</v>
      </c>
      <c r="B5" s="599"/>
      <c r="C5" s="599"/>
      <c r="D5" s="599"/>
      <c r="E5" s="599"/>
      <c r="F5" s="599"/>
      <c r="G5" s="599"/>
      <c r="H5" s="599"/>
      <c r="I5" s="599"/>
      <c r="J5" s="599"/>
      <c r="K5" s="599"/>
      <c r="L5" s="599"/>
    </row>
    <row r="6" spans="1:12" ht="15.75" customHeight="1">
      <c r="A6" s="601" t="s">
        <v>461</v>
      </c>
      <c r="B6" s="601"/>
      <c r="C6" s="601"/>
      <c r="D6" s="601"/>
      <c r="E6" s="601"/>
      <c r="F6" s="601"/>
      <c r="G6" s="279"/>
      <c r="H6" s="279"/>
      <c r="I6" s="279"/>
      <c r="J6" s="279"/>
      <c r="K6" s="279"/>
      <c r="L6" s="280">
        <v>1</v>
      </c>
    </row>
    <row r="7" spans="1:12" ht="12.75">
      <c r="A7" s="281"/>
      <c r="B7" s="596" t="s">
        <v>462</v>
      </c>
      <c r="C7" s="596"/>
      <c r="D7" s="596"/>
      <c r="E7" s="596"/>
      <c r="F7" s="596"/>
      <c r="G7" s="596"/>
      <c r="H7" s="596"/>
      <c r="I7" s="596"/>
      <c r="J7" s="596"/>
      <c r="K7" s="596"/>
      <c r="L7" s="596"/>
    </row>
    <row r="8" spans="1:12" s="286" customFormat="1" ht="12.75">
      <c r="A8" s="282" t="s">
        <v>334</v>
      </c>
      <c r="B8" s="283">
        <f>Parâmetros!B10</f>
        <v>2021</v>
      </c>
      <c r="C8" s="284">
        <f>B8+1</f>
        <v>2022</v>
      </c>
      <c r="D8" s="285" t="s">
        <v>438</v>
      </c>
      <c r="E8" s="282">
        <f>C8+1</f>
        <v>2023</v>
      </c>
      <c r="F8" s="285" t="s">
        <v>438</v>
      </c>
      <c r="G8" s="282">
        <f>E8+1</f>
        <v>2024</v>
      </c>
      <c r="H8" s="285" t="s">
        <v>438</v>
      </c>
      <c r="I8" s="282">
        <f>G8+1</f>
        <v>2025</v>
      </c>
      <c r="J8" s="285" t="s">
        <v>438</v>
      </c>
      <c r="K8" s="282">
        <f>I8+1</f>
        <v>2026</v>
      </c>
      <c r="L8" s="284" t="s">
        <v>438</v>
      </c>
    </row>
    <row r="9" spans="1:12" ht="12.75">
      <c r="A9" s="287" t="s">
        <v>463</v>
      </c>
      <c r="B9" s="288">
        <v>105572841.74</v>
      </c>
      <c r="C9" s="288">
        <f>' Dem-2-Avalia'!B10</f>
        <v>115661837.74</v>
      </c>
      <c r="D9" s="289">
        <f aca="true" t="shared" si="0" ref="D9:D16">(C9/B9)-1</f>
        <v>0.09556431212533534</v>
      </c>
      <c r="E9" s="288">
        <v>137178019.69</v>
      </c>
      <c r="F9" s="289">
        <f aca="true" t="shared" si="1" ref="F9:F16">(E9/C9)-1</f>
        <v>0.18602663048089307</v>
      </c>
      <c r="G9" s="290">
        <f>' Dem-1-Metas'!B11</f>
        <v>139600793.345218</v>
      </c>
      <c r="H9" s="289">
        <f aca="true" t="shared" si="2" ref="H9:H16">(G9/E9)-1</f>
        <v>0.01766152959995404</v>
      </c>
      <c r="I9" s="290">
        <f>' Dem-1-Metas'!F11</f>
        <v>147863799.42555243</v>
      </c>
      <c r="J9" s="289">
        <f aca="true" t="shared" si="3" ref="J9:J16">(I9/G9)-1</f>
        <v>0.05919025159048252</v>
      </c>
      <c r="K9" s="290">
        <f>' Dem-1-Metas'!J11</f>
        <v>154926860.44640666</v>
      </c>
      <c r="L9" s="289">
        <f aca="true" t="shared" si="4" ref="L9:L16">(K9/I9)-1</f>
        <v>0.047767344328321526</v>
      </c>
    </row>
    <row r="10" spans="1:12" ht="12.75">
      <c r="A10" s="279" t="s">
        <v>443</v>
      </c>
      <c r="B10" s="288">
        <v>90020162.67</v>
      </c>
      <c r="C10" s="288">
        <f>' Dem-2-Avalia'!B11</f>
        <v>107812823.05</v>
      </c>
      <c r="D10" s="289">
        <f t="shared" si="0"/>
        <v>0.19765194654474394</v>
      </c>
      <c r="E10" s="288">
        <v>128629065.21</v>
      </c>
      <c r="F10" s="289">
        <f t="shared" si="1"/>
        <v>0.19307760961185583</v>
      </c>
      <c r="G10" s="291">
        <f>' Dem-1-Metas'!B12</f>
        <v>134023463.77210395</v>
      </c>
      <c r="H10" s="289">
        <f t="shared" si="2"/>
        <v>0.04193763325028477</v>
      </c>
      <c r="I10" s="291">
        <f>' Dem-1-Metas'!F12</f>
        <v>141990697.83424523</v>
      </c>
      <c r="J10" s="289">
        <f t="shared" si="3"/>
        <v>0.059446561355024574</v>
      </c>
      <c r="K10" s="291">
        <f>' Dem-1-Metas'!J12</f>
        <v>148743077.20562443</v>
      </c>
      <c r="L10" s="289">
        <f t="shared" si="4"/>
        <v>0.04755508265239805</v>
      </c>
    </row>
    <row r="11" spans="1:12" ht="12.75">
      <c r="A11" s="279" t="s">
        <v>464</v>
      </c>
      <c r="B11" s="288">
        <v>105572841.74</v>
      </c>
      <c r="C11" s="288">
        <f>' Dem-2-Avalia'!B12</f>
        <v>101177717.04</v>
      </c>
      <c r="D11" s="289">
        <f t="shared" si="0"/>
        <v>-0.04163120578703472</v>
      </c>
      <c r="E11" s="288">
        <v>139451292.22</v>
      </c>
      <c r="F11" s="289">
        <f t="shared" si="1"/>
        <v>0.3782806758218191</v>
      </c>
      <c r="G11" s="291">
        <f>' Dem-1-Metas'!B18</f>
        <v>133587521.91771352</v>
      </c>
      <c r="H11" s="289">
        <f t="shared" si="2"/>
        <v>-0.0420488774893224</v>
      </c>
      <c r="I11" s="291">
        <f>' Dem-1-Metas'!F18</f>
        <v>146729181.74151126</v>
      </c>
      <c r="J11" s="289">
        <f t="shared" si="3"/>
        <v>0.09837490534402349</v>
      </c>
      <c r="K11" s="291">
        <f>' Dem-1-Metas'!J18</f>
        <v>156037819.6692486</v>
      </c>
      <c r="L11" s="289">
        <f t="shared" si="4"/>
        <v>0.06344094485673701</v>
      </c>
    </row>
    <row r="12" spans="1:12" ht="12.75">
      <c r="A12" s="279" t="s">
        <v>445</v>
      </c>
      <c r="B12" s="288">
        <v>83477232.43</v>
      </c>
      <c r="C12" s="288">
        <f>' Dem-2-Avalia'!B13</f>
        <v>100489372.5</v>
      </c>
      <c r="D12" s="289">
        <f t="shared" si="0"/>
        <v>0.20379377196369752</v>
      </c>
      <c r="E12" s="288">
        <v>123557071.47</v>
      </c>
      <c r="F12" s="289">
        <f t="shared" si="1"/>
        <v>0.22955361742357372</v>
      </c>
      <c r="G12" s="291">
        <f>' Dem-1-Metas'!B19</f>
        <v>133185760.99596809</v>
      </c>
      <c r="H12" s="289">
        <f t="shared" si="2"/>
        <v>0.07792908500834739</v>
      </c>
      <c r="I12" s="291">
        <f>' Dem-1-Metas'!F19</f>
        <v>146312616.34984753</v>
      </c>
      <c r="J12" s="289">
        <f t="shared" si="3"/>
        <v>0.09856050118057902</v>
      </c>
      <c r="K12" s="291">
        <f>' Dem-1-Metas'!J19</f>
        <v>155606321.30391708</v>
      </c>
      <c r="L12" s="289">
        <f t="shared" si="4"/>
        <v>0.06351950491984515</v>
      </c>
    </row>
    <row r="13" spans="1:12" ht="12.75">
      <c r="A13" s="292" t="s">
        <v>446</v>
      </c>
      <c r="B13" s="293">
        <f>B10-B12</f>
        <v>6542930.239999995</v>
      </c>
      <c r="C13" s="293">
        <f>C10-C12</f>
        <v>7323450.549999997</v>
      </c>
      <c r="D13" s="294">
        <f t="shared" si="0"/>
        <v>0.11929216442326052</v>
      </c>
      <c r="E13" s="293">
        <f>E10-E12</f>
        <v>5071993.739999995</v>
      </c>
      <c r="F13" s="294">
        <f t="shared" si="1"/>
        <v>-0.3074311480125995</v>
      </c>
      <c r="G13" s="293">
        <f>G10-G12</f>
        <v>837702.7761358619</v>
      </c>
      <c r="H13" s="294">
        <f t="shared" si="2"/>
        <v>-0.8348375768823676</v>
      </c>
      <c r="I13" s="293">
        <f>I10-I12</f>
        <v>-4321918.515602291</v>
      </c>
      <c r="J13" s="294">
        <f t="shared" si="3"/>
        <v>-6.159250558459824</v>
      </c>
      <c r="K13" s="293">
        <f>K10-K12</f>
        <v>-6863244.098292649</v>
      </c>
      <c r="L13" s="294">
        <f t="shared" si="4"/>
        <v>0.5880086756647716</v>
      </c>
    </row>
    <row r="14" spans="1:12" ht="12.75">
      <c r="A14" s="279" t="s">
        <v>447</v>
      </c>
      <c r="B14" s="288">
        <v>859086.75</v>
      </c>
      <c r="C14" s="288">
        <f>' Dem-2-Avalia'!B15</f>
        <v>922774.73</v>
      </c>
      <c r="D14" s="289">
        <f t="shared" si="0"/>
        <v>0.07413451551895078</v>
      </c>
      <c r="E14" s="288">
        <v>1012500</v>
      </c>
      <c r="F14" s="289">
        <f t="shared" si="1"/>
        <v>0.09723420796319382</v>
      </c>
      <c r="G14" s="291">
        <f>' Dem-1-Metas'!B26</f>
        <v>675000</v>
      </c>
      <c r="H14" s="289">
        <f t="shared" si="2"/>
        <v>-0.33333333333333337</v>
      </c>
      <c r="I14" s="291">
        <f>' Dem-1-Metas'!F26</f>
        <v>562500</v>
      </c>
      <c r="J14" s="289">
        <f t="shared" si="3"/>
        <v>-0.16666666666666663</v>
      </c>
      <c r="K14" s="291">
        <f>' Dem-1-Metas'!J26</f>
        <v>525000</v>
      </c>
      <c r="L14" s="289">
        <f t="shared" si="4"/>
        <v>-0.06666666666666665</v>
      </c>
    </row>
    <row r="15" spans="1:12" ht="12.75">
      <c r="A15" s="279" t="s">
        <v>448</v>
      </c>
      <c r="B15" s="288">
        <v>-12925019.2</v>
      </c>
      <c r="C15" s="288">
        <f>' Dem-2-Avalia'!B16</f>
        <v>-23915343.23</v>
      </c>
      <c r="D15" s="289">
        <f t="shared" si="0"/>
        <v>0.8503139422802561</v>
      </c>
      <c r="E15" s="288">
        <v>-37988754.5</v>
      </c>
      <c r="F15" s="289">
        <f t="shared" si="1"/>
        <v>0.5884678774898771</v>
      </c>
      <c r="G15" s="291">
        <f>' Dem-1-Metas'!B27</f>
        <v>-45573484.43333334</v>
      </c>
      <c r="H15" s="289">
        <f t="shared" si="2"/>
        <v>0.1996572415485045</v>
      </c>
      <c r="I15" s="291">
        <f>' Dem-1-Metas'!F27</f>
        <v>-48560059.494444445</v>
      </c>
      <c r="J15" s="289">
        <f t="shared" si="3"/>
        <v>0.06553317347239451</v>
      </c>
      <c r="K15" s="291">
        <f>' Dem-1-Metas'!J27</f>
        <v>-49126211.002592586</v>
      </c>
      <c r="L15" s="289">
        <f t="shared" si="4"/>
        <v>0.011658789425760707</v>
      </c>
    </row>
    <row r="16" spans="1:12" ht="12.75">
      <c r="A16" s="295" t="s">
        <v>465</v>
      </c>
      <c r="B16" s="296">
        <v>12263181.21</v>
      </c>
      <c r="C16" s="296">
        <v>12197924.24</v>
      </c>
      <c r="D16" s="297">
        <f t="shared" si="0"/>
        <v>-0.005321373702509291</v>
      </c>
      <c r="E16" s="296">
        <v>9341672.39</v>
      </c>
      <c r="F16" s="294">
        <f t="shared" si="1"/>
        <v>-0.234158844882283</v>
      </c>
      <c r="G16" s="293">
        <f>' Dem-1-Metas'!B28</f>
        <v>7471686.68666666</v>
      </c>
      <c r="H16" s="294">
        <f t="shared" si="2"/>
        <v>-0.2001767590710105</v>
      </c>
      <c r="I16" s="293">
        <f>' Dem-1-Metas'!F28</f>
        <v>-2986575.0611111075</v>
      </c>
      <c r="J16" s="294">
        <f t="shared" si="3"/>
        <v>-1.399718990685289</v>
      </c>
      <c r="K16" s="293">
        <f>' Dem-1-Metas'!J28</f>
        <v>-566151.5081481412</v>
      </c>
      <c r="L16" s="294">
        <f t="shared" si="4"/>
        <v>-0.8104345289960623</v>
      </c>
    </row>
    <row r="17" spans="1:12" ht="11.25" customHeight="1">
      <c r="A17" s="279" t="s">
        <v>466</v>
      </c>
      <c r="B17" s="279"/>
      <c r="C17" s="279"/>
      <c r="D17" s="279"/>
      <c r="E17" s="279"/>
      <c r="F17" s="279"/>
      <c r="G17" s="279"/>
      <c r="H17" s="279"/>
      <c r="I17" s="279"/>
      <c r="J17" s="279"/>
      <c r="K17" s="279"/>
      <c r="L17" s="279"/>
    </row>
    <row r="18" spans="1:12" ht="11.25" customHeight="1">
      <c r="A18" s="279" t="s">
        <v>467</v>
      </c>
      <c r="B18" s="279"/>
      <c r="C18" s="279"/>
      <c r="D18" s="279"/>
      <c r="E18" s="279"/>
      <c r="F18" s="279"/>
      <c r="G18" s="279"/>
      <c r="H18" s="279"/>
      <c r="I18" s="279"/>
      <c r="J18" s="279"/>
      <c r="K18" s="279"/>
      <c r="L18" s="279"/>
    </row>
    <row r="19" spans="1:12" ht="12.75">
      <c r="A19" s="281"/>
      <c r="B19" s="596" t="s">
        <v>468</v>
      </c>
      <c r="C19" s="596"/>
      <c r="D19" s="596"/>
      <c r="E19" s="596"/>
      <c r="F19" s="596"/>
      <c r="G19" s="596"/>
      <c r="H19" s="596"/>
      <c r="I19" s="596"/>
      <c r="J19" s="596"/>
      <c r="K19" s="596"/>
      <c r="L19" s="596"/>
    </row>
    <row r="20" spans="1:12" s="286" customFormat="1" ht="12.75">
      <c r="A20" s="282" t="s">
        <v>334</v>
      </c>
      <c r="B20" s="283">
        <f>B8</f>
        <v>2021</v>
      </c>
      <c r="C20" s="285">
        <f>C8</f>
        <v>2022</v>
      </c>
      <c r="D20" s="282" t="s">
        <v>438</v>
      </c>
      <c r="E20" s="285">
        <f aca="true" t="shared" si="5" ref="E20:E28">E8</f>
        <v>2023</v>
      </c>
      <c r="F20" s="282" t="s">
        <v>438</v>
      </c>
      <c r="G20" s="285">
        <f>G8</f>
        <v>2024</v>
      </c>
      <c r="H20" s="282" t="s">
        <v>438</v>
      </c>
      <c r="I20" s="285">
        <f>I8</f>
        <v>2025</v>
      </c>
      <c r="J20" s="282" t="s">
        <v>438</v>
      </c>
      <c r="K20" s="285">
        <f>K8</f>
        <v>2026</v>
      </c>
      <c r="L20" s="282" t="s">
        <v>438</v>
      </c>
    </row>
    <row r="21" spans="1:12" s="286" customFormat="1" ht="12.75">
      <c r="A21" s="287" t="s">
        <v>463</v>
      </c>
      <c r="B21" s="298">
        <f>B9*(1+Parâmetros!C11)*(1+Parâmetros!D11)</f>
        <v>117236364.60180208</v>
      </c>
      <c r="C21" s="299">
        <f>C9*(1+Parâmetros!D11)</f>
        <v>121421797.259452</v>
      </c>
      <c r="D21" s="289">
        <f aca="true" t="shared" si="6" ref="D21:D28">(C21/B21)-1</f>
        <v>0.03570080556375066</v>
      </c>
      <c r="E21" s="291">
        <f t="shared" si="5"/>
        <v>137178019.69</v>
      </c>
      <c r="F21" s="289">
        <f aca="true" t="shared" si="7" ref="F21:F28">(E21/C21)-1</f>
        <v>0.1297643650989646</v>
      </c>
      <c r="G21" s="300">
        <f>' Dem-1-Metas'!C11</f>
        <v>134334866.57546</v>
      </c>
      <c r="H21" s="289">
        <f aca="true" t="shared" si="8" ref="H21:H28">(G21/E21)-1</f>
        <v>-0.020726010777565307</v>
      </c>
      <c r="I21" s="291">
        <f>' Dem-1-Metas'!G11</f>
        <v>137341873.67320016</v>
      </c>
      <c r="J21" s="289">
        <f aca="true" t="shared" si="9" ref="J21:J28">(I21/G21)-1</f>
        <v>0.02238441273212599</v>
      </c>
      <c r="K21" s="291">
        <f>' Dem-1-Metas'!K11</f>
        <v>139036067.86825582</v>
      </c>
      <c r="L21" s="289">
        <f aca="true" t="shared" si="10" ref="L21:L28">(K21/I21)-1</f>
        <v>0.012335598384851876</v>
      </c>
    </row>
    <row r="22" spans="1:12" s="286" customFormat="1" ht="12.75">
      <c r="A22" s="279" t="s">
        <v>443</v>
      </c>
      <c r="B22" s="298">
        <f>B10*(1+Parâmetros!C11)*(1+Parâmetros!D11)</f>
        <v>99965449.81032784</v>
      </c>
      <c r="C22" s="299">
        <f>C10*(1+Parâmetros!D11)</f>
        <v>113181901.63789001</v>
      </c>
      <c r="D22" s="289">
        <f t="shared" si="6"/>
        <v>0.13221019714950266</v>
      </c>
      <c r="E22" s="291">
        <f t="shared" si="5"/>
        <v>128629065.21</v>
      </c>
      <c r="F22" s="289">
        <f t="shared" si="7"/>
        <v>0.13648086265179638</v>
      </c>
      <c r="G22" s="300">
        <f>' Dem-1-Metas'!C12</f>
        <v>128967921.25876054</v>
      </c>
      <c r="H22" s="289">
        <f t="shared" si="8"/>
        <v>0.002634366099196317</v>
      </c>
      <c r="I22" s="291">
        <f>' Dem-1-Metas'!G12</f>
        <v>131886699.51998015</v>
      </c>
      <c r="J22" s="289">
        <f t="shared" si="9"/>
        <v>0.02263181597975339</v>
      </c>
      <c r="K22" s="291">
        <f>' Dem-1-Metas'!K12</f>
        <v>133486553.05932832</v>
      </c>
      <c r="L22" s="289">
        <f t="shared" si="10"/>
        <v>0.012130514639998147</v>
      </c>
    </row>
    <row r="23" spans="1:12" s="286" customFormat="1" ht="12.75">
      <c r="A23" s="279" t="s">
        <v>464</v>
      </c>
      <c r="B23" s="298">
        <f>B11*(1+Parâmetros!C11)*(1+Parâmetros!D11)</f>
        <v>117236364.60180208</v>
      </c>
      <c r="C23" s="299">
        <f>C11*(1+Parâmetros!D11)</f>
        <v>106216367.34859201</v>
      </c>
      <c r="D23" s="289">
        <f t="shared" si="6"/>
        <v>-0.09399811475423958</v>
      </c>
      <c r="E23" s="291">
        <f t="shared" si="5"/>
        <v>139451292.22</v>
      </c>
      <c r="F23" s="289">
        <f t="shared" si="7"/>
        <v>0.31289833856145854</v>
      </c>
      <c r="G23" s="300">
        <f>' Dem-1-Metas'!C18</f>
        <v>128548423.70834635</v>
      </c>
      <c r="H23" s="289">
        <f t="shared" si="8"/>
        <v>-0.07818406224915542</v>
      </c>
      <c r="I23" s="291">
        <f>' Dem-1-Metas'!G18</f>
        <v>136287994.90615672</v>
      </c>
      <c r="J23" s="289">
        <f t="shared" si="9"/>
        <v>0.06020743759075642</v>
      </c>
      <c r="K23" s="291">
        <f>' Dem-1-Metas'!K18</f>
        <v>140033076.40157825</v>
      </c>
      <c r="L23" s="289">
        <f t="shared" si="10"/>
        <v>0.027479173774625387</v>
      </c>
    </row>
    <row r="24" spans="1:12" s="286" customFormat="1" ht="12.75">
      <c r="A24" s="279" t="s">
        <v>469</v>
      </c>
      <c r="B24" s="298">
        <f>B12*(1+Parâmetros!C11)*(1+Parâmetros!D11)</f>
        <v>92699666.84438382</v>
      </c>
      <c r="C24" s="299">
        <f>C12*(1+Parâmetros!D11)</f>
        <v>105493743.25050001</v>
      </c>
      <c r="D24" s="289">
        <f t="shared" si="6"/>
        <v>0.13801642272990877</v>
      </c>
      <c r="E24" s="291">
        <f t="shared" si="5"/>
        <v>123557071.47</v>
      </c>
      <c r="F24" s="289">
        <f t="shared" si="7"/>
        <v>0.17122653593405768</v>
      </c>
      <c r="G24" s="300">
        <f>' Dem-1-Metas'!C19</f>
        <v>128161817.74053897</v>
      </c>
      <c r="H24" s="289">
        <f t="shared" si="8"/>
        <v>0.037268172640827046</v>
      </c>
      <c r="I24" s="291">
        <f>' Dem-1-Metas'!G19</f>
        <v>135901072.13249087</v>
      </c>
      <c r="J24" s="289">
        <f t="shared" si="9"/>
        <v>0.06038658415113818</v>
      </c>
      <c r="K24" s="291">
        <f>' Dem-1-Metas'!K19</f>
        <v>139645836.6690076</v>
      </c>
      <c r="L24" s="289">
        <f t="shared" si="10"/>
        <v>0.027555077217241708</v>
      </c>
    </row>
    <row r="25" spans="1:12" ht="12.75">
      <c r="A25" s="301" t="s">
        <v>470</v>
      </c>
      <c r="B25" s="302">
        <f>B22-B24</f>
        <v>7265782.965944022</v>
      </c>
      <c r="C25" s="293">
        <f>C22-C24</f>
        <v>7688158.387390003</v>
      </c>
      <c r="D25" s="294">
        <f t="shared" si="6"/>
        <v>0.0581321274562876</v>
      </c>
      <c r="E25" s="293">
        <f t="shared" si="5"/>
        <v>5071993.739999995</v>
      </c>
      <c r="F25" s="294">
        <f t="shared" si="7"/>
        <v>-0.3402849571466946</v>
      </c>
      <c r="G25" s="293">
        <f>G22-G24</f>
        <v>806103.518221572</v>
      </c>
      <c r="H25" s="294">
        <f t="shared" si="8"/>
        <v>-0.8410677221731798</v>
      </c>
      <c r="I25" s="293">
        <f>I22-I24</f>
        <v>-4014372.612510726</v>
      </c>
      <c r="J25" s="294">
        <f t="shared" si="9"/>
        <v>-5.979971581524971</v>
      </c>
      <c r="K25" s="293">
        <f>K22-K24</f>
        <v>-6159283.609679282</v>
      </c>
      <c r="L25" s="294">
        <f t="shared" si="10"/>
        <v>0.5343078991930086</v>
      </c>
    </row>
    <row r="26" spans="1:12" ht="12.75">
      <c r="A26" s="303" t="s">
        <v>447</v>
      </c>
      <c r="B26" s="298">
        <f>B14*(1+Parâmetros!C11)*(1+Parâmetros!D11)</f>
        <v>953997.3139646701</v>
      </c>
      <c r="C26" s="299">
        <f>C14*(1+Parâmetros!D11)</f>
        <v>968728.911554</v>
      </c>
      <c r="D26" s="289">
        <f t="shared" si="6"/>
        <v>0.015441969671914135</v>
      </c>
      <c r="E26" s="291">
        <f t="shared" si="5"/>
        <v>1012500</v>
      </c>
      <c r="F26" s="289">
        <f t="shared" si="7"/>
        <v>0.04518404263973497</v>
      </c>
      <c r="G26" s="291">
        <f>' Dem-1-Metas'!C26</f>
        <v>649538.1062355659</v>
      </c>
      <c r="H26" s="289">
        <f t="shared" si="8"/>
        <v>-0.3584808827303053</v>
      </c>
      <c r="I26" s="291">
        <f>' Dem-1-Metas'!G26</f>
        <v>522472.73667596997</v>
      </c>
      <c r="J26" s="289">
        <f t="shared" si="9"/>
        <v>-0.19562419562419564</v>
      </c>
      <c r="K26" s="291">
        <f>' Dem-1-Metas'!K26</f>
        <v>471150.938065287</v>
      </c>
      <c r="L26" s="289">
        <f t="shared" si="10"/>
        <v>-0.09822866344605452</v>
      </c>
    </row>
    <row r="27" spans="1:12" ht="12.75">
      <c r="A27" s="279" t="s">
        <v>448</v>
      </c>
      <c r="B27" s="298">
        <f>B15*(1+Parâmetros!C11)*(1+Parâmetros!D11)</f>
        <v>-14352955.15818605</v>
      </c>
      <c r="C27" s="299">
        <f>C15*(1+Parâmetros!D11)</f>
        <v>-25106327.322854</v>
      </c>
      <c r="D27" s="289">
        <f t="shared" si="6"/>
        <v>0.749209625903059</v>
      </c>
      <c r="E27" s="291">
        <f t="shared" si="5"/>
        <v>-37988754.5</v>
      </c>
      <c r="F27" s="289">
        <f t="shared" si="7"/>
        <v>0.5131147623260401</v>
      </c>
      <c r="G27" s="291">
        <f>' Dem-1-Metas'!C27</f>
        <v>-43854392.256864265</v>
      </c>
      <c r="H27" s="289">
        <f t="shared" si="8"/>
        <v>0.15440458193659024</v>
      </c>
      <c r="I27" s="291">
        <f>' Dem-1-Metas'!G27</f>
        <v>-45104546.09281833</v>
      </c>
      <c r="J27" s="289">
        <f t="shared" si="9"/>
        <v>0.028506924201153083</v>
      </c>
      <c r="K27" s="291">
        <f>' Dem-1-Metas'!K27</f>
        <v>-44087353.13802804</v>
      </c>
      <c r="L27" s="289">
        <f t="shared" si="10"/>
        <v>-0.022551894274627116</v>
      </c>
    </row>
    <row r="28" spans="1:12" ht="12.75">
      <c r="A28" s="295" t="s">
        <v>471</v>
      </c>
      <c r="B28" s="304">
        <f>B16*(1+Parâmetros!C11)*(1+Parâmetros!D11)</f>
        <v>13617998.339518117</v>
      </c>
      <c r="C28" s="304">
        <f>C16*(1+Parâmetros!D11)</f>
        <v>12805380.867152002</v>
      </c>
      <c r="D28" s="297">
        <f t="shared" si="6"/>
        <v>-0.0596723139558607</v>
      </c>
      <c r="E28" s="302">
        <f t="shared" si="5"/>
        <v>9341672.39</v>
      </c>
      <c r="F28" s="294">
        <f t="shared" si="7"/>
        <v>-0.2704885167482216</v>
      </c>
      <c r="G28" s="293">
        <f>' Dem-1-Metas'!C28</f>
        <v>7189844.771619189</v>
      </c>
      <c r="H28" s="294">
        <f t="shared" si="8"/>
        <v>-0.2303471507611724</v>
      </c>
      <c r="I28" s="293">
        <f>' Dem-1-Metas'!G28</f>
        <v>-2774051.63638564</v>
      </c>
      <c r="J28" s="294">
        <f t="shared" si="9"/>
        <v>-1.3858291415881165</v>
      </c>
      <c r="K28" s="293">
        <f>' Dem-1-Metas'!K28</f>
        <v>-508081.5507639499</v>
      </c>
      <c r="L28" s="294">
        <f t="shared" si="10"/>
        <v>-0.816844955551751</v>
      </c>
    </row>
    <row r="29" spans="1:12" ht="12.75">
      <c r="A29" s="305" t="s">
        <v>472</v>
      </c>
      <c r="B29" s="306"/>
      <c r="C29" s="306"/>
      <c r="D29" s="306"/>
      <c r="E29" s="306"/>
      <c r="F29" s="306"/>
      <c r="G29" s="306"/>
      <c r="H29" s="306"/>
      <c r="I29" s="306"/>
      <c r="J29" s="306"/>
      <c r="K29" s="306"/>
      <c r="L29" s="306"/>
    </row>
    <row r="30" spans="1:12" ht="30" customHeight="1">
      <c r="A30" s="597" t="s">
        <v>473</v>
      </c>
      <c r="B30" s="597"/>
      <c r="C30" s="597"/>
      <c r="D30" s="597"/>
      <c r="E30" s="597"/>
      <c r="F30" s="597"/>
      <c r="G30" s="597"/>
      <c r="H30" s="597"/>
      <c r="I30" s="597"/>
      <c r="J30" s="597"/>
      <c r="K30" s="597"/>
      <c r="L30" s="597"/>
    </row>
  </sheetData>
  <sheetProtection selectLockedCells="1" selectUnlockedCells="1"/>
  <mergeCells count="9">
    <mergeCell ref="B7:L7"/>
    <mergeCell ref="B19:L19"/>
    <mergeCell ref="A30:L30"/>
    <mergeCell ref="A1:L1"/>
    <mergeCell ref="A2:L2"/>
    <mergeCell ref="A3:L3"/>
    <mergeCell ref="A4:L4"/>
    <mergeCell ref="A5:L5"/>
    <mergeCell ref="A6:F6"/>
  </mergeCells>
  <printOptions/>
  <pageMargins left="0.5118055555555555" right="0.5118055555555555" top="0.7875" bottom="0.7875" header="0.5118055555555555" footer="0.5118055555555555"/>
  <pageSetup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codeName="Plan14"/>
  <dimension ref="A1:I43"/>
  <sheetViews>
    <sheetView zoomScale="120" zoomScaleNormal="120" zoomScaleSheetLayoutView="90" zoomScalePageLayoutView="0" workbookViewId="0" topLeftCell="A1">
      <selection activeCell="A29" sqref="A29:G29"/>
    </sheetView>
  </sheetViews>
  <sheetFormatPr defaultColWidth="8.8515625" defaultRowHeight="12.75"/>
  <cols>
    <col min="1" max="1" width="26.421875" style="250" customWidth="1"/>
    <col min="2" max="2" width="13.8515625" style="250" customWidth="1"/>
    <col min="3" max="3" width="9.8515625" style="250" customWidth="1"/>
    <col min="4" max="4" width="13.57421875" style="250" customWidth="1"/>
    <col min="5" max="5" width="10.140625" style="250" customWidth="1"/>
    <col min="6" max="6" width="14.57421875" style="250" customWidth="1"/>
    <col min="7" max="7" width="12.140625" style="250" customWidth="1"/>
    <col min="8" max="8" width="8.8515625" style="250" customWidth="1"/>
    <col min="9" max="9" width="14.140625" style="250" customWidth="1"/>
    <col min="10" max="16384" width="8.8515625" style="250" customWidth="1"/>
  </cols>
  <sheetData>
    <row r="1" spans="1:7" ht="12.75">
      <c r="A1" s="607" t="str">
        <f>Parâmetros!A7</f>
        <v>Município de Ivoti</v>
      </c>
      <c r="B1" s="607"/>
      <c r="C1" s="607"/>
      <c r="D1" s="607"/>
      <c r="E1" s="607"/>
      <c r="F1" s="607"/>
      <c r="G1" s="607"/>
    </row>
    <row r="2" spans="1:7" ht="12.75">
      <c r="A2" s="608" t="s">
        <v>381</v>
      </c>
      <c r="B2" s="608"/>
      <c r="C2" s="608"/>
      <c r="D2" s="608"/>
      <c r="E2" s="608"/>
      <c r="F2" s="608"/>
      <c r="G2" s="608"/>
    </row>
    <row r="3" spans="1:7" ht="12.75">
      <c r="A3" s="608" t="s">
        <v>382</v>
      </c>
      <c r="B3" s="608"/>
      <c r="C3" s="608"/>
      <c r="D3" s="608"/>
      <c r="E3" s="608"/>
      <c r="F3" s="608"/>
      <c r="G3" s="608"/>
    </row>
    <row r="4" spans="1:7" ht="12.75">
      <c r="A4" s="609" t="s">
        <v>474</v>
      </c>
      <c r="B4" s="609"/>
      <c r="C4" s="609"/>
      <c r="D4" s="609"/>
      <c r="E4" s="609"/>
      <c r="F4" s="609"/>
      <c r="G4" s="609"/>
    </row>
    <row r="5" spans="1:7" ht="12.75">
      <c r="A5" s="608" t="s">
        <v>475</v>
      </c>
      <c r="B5" s="608"/>
      <c r="C5" s="608"/>
      <c r="D5" s="608"/>
      <c r="E5" s="608"/>
      <c r="F5" s="608"/>
      <c r="G5" s="608"/>
    </row>
    <row r="6" spans="1:7" ht="12.75" customHeight="1">
      <c r="A6" s="602" t="s">
        <v>476</v>
      </c>
      <c r="B6" s="602"/>
      <c r="C6" s="308"/>
      <c r="D6" s="308"/>
      <c r="E6" s="308"/>
      <c r="F6" s="308"/>
      <c r="G6" s="309">
        <v>1</v>
      </c>
    </row>
    <row r="7" spans="1:7" s="312" customFormat="1" ht="25.5" customHeight="1">
      <c r="A7" s="310" t="s">
        <v>477</v>
      </c>
      <c r="B7" s="310">
        <f>Parâmetros!C10</f>
        <v>2022</v>
      </c>
      <c r="C7" s="310" t="s">
        <v>438</v>
      </c>
      <c r="D7" s="310">
        <f>B7-1</f>
        <v>2021</v>
      </c>
      <c r="E7" s="310" t="s">
        <v>438</v>
      </c>
      <c r="F7" s="310">
        <f>D7-1</f>
        <v>2020</v>
      </c>
      <c r="G7" s="311" t="s">
        <v>438</v>
      </c>
    </row>
    <row r="8" spans="1:7" ht="12.75">
      <c r="A8" s="313" t="s">
        <v>478</v>
      </c>
      <c r="B8" s="314">
        <f>D12</f>
        <v>110289853.42</v>
      </c>
      <c r="C8" s="315">
        <f>IF(B12=0,"-",(B8/B12))</f>
        <v>0.8297636518792462</v>
      </c>
      <c r="D8" s="314">
        <f>F12</f>
        <v>84286471.14</v>
      </c>
      <c r="E8" s="315">
        <f>IF(D12=0,"-",(D8/D12))</f>
        <v>0.7642268851244611</v>
      </c>
      <c r="F8" s="316">
        <v>69149764.12</v>
      </c>
      <c r="G8" s="315">
        <f>IF(F12=0,"-",(F8/F12))</f>
        <v>0.8204135632294073</v>
      </c>
    </row>
    <row r="9" spans="1:7" ht="12.75">
      <c r="A9" s="313" t="s">
        <v>479</v>
      </c>
      <c r="B9" s="317"/>
      <c r="C9" s="315">
        <f>IF(B12=0,"-",(B9/B12))</f>
        <v>0</v>
      </c>
      <c r="D9" s="317"/>
      <c r="E9" s="315">
        <f>IF(D12=0,"-",(D9/D12))</f>
        <v>0</v>
      </c>
      <c r="F9" s="317"/>
      <c r="G9" s="315">
        <f>IF(F12=0,"-",(F9/F12))</f>
        <v>0</v>
      </c>
    </row>
    <row r="10" spans="1:7" ht="12.75">
      <c r="A10" s="318" t="s">
        <v>480</v>
      </c>
      <c r="B10" s="319">
        <v>22627337.12</v>
      </c>
      <c r="C10" s="320">
        <f>IF(B12=0,"-",(B10/B12))</f>
        <v>0.17023634812075378</v>
      </c>
      <c r="D10" s="319">
        <v>26003382.28</v>
      </c>
      <c r="E10" s="320">
        <f>IF(D12=0,"-",(D10/D12))</f>
        <v>0.23577311487553884</v>
      </c>
      <c r="F10" s="319">
        <v>15136707.02</v>
      </c>
      <c r="G10" s="320">
        <f>IF(F12=0,"-",(F10/F12))</f>
        <v>0.17958643677059274</v>
      </c>
    </row>
    <row r="11" spans="1:7" s="324" customFormat="1" ht="12.75">
      <c r="A11" s="321" t="s">
        <v>481</v>
      </c>
      <c r="B11" s="322">
        <v>0</v>
      </c>
      <c r="C11" s="323">
        <f>IF(B12=0,"-",(B11/B12))</f>
        <v>0</v>
      </c>
      <c r="D11" s="322"/>
      <c r="E11" s="323">
        <f>IF(D12=0,"-",(D11/D12))</f>
        <v>0</v>
      </c>
      <c r="F11" s="322"/>
      <c r="G11" s="323">
        <f>IF(F12=0,"-",(F11/F12))</f>
        <v>0</v>
      </c>
    </row>
    <row r="12" spans="1:7" ht="12.75">
      <c r="A12" s="325" t="s">
        <v>482</v>
      </c>
      <c r="B12" s="326">
        <f aca="true" t="shared" si="0" ref="B12:G12">SUM(B8:B11)</f>
        <v>132917190.54</v>
      </c>
      <c r="C12" s="320">
        <f t="shared" si="0"/>
        <v>1</v>
      </c>
      <c r="D12" s="326">
        <f t="shared" si="0"/>
        <v>110289853.42</v>
      </c>
      <c r="E12" s="320">
        <f t="shared" si="0"/>
        <v>1</v>
      </c>
      <c r="F12" s="326">
        <f t="shared" si="0"/>
        <v>84286471.14</v>
      </c>
      <c r="G12" s="320">
        <f t="shared" si="0"/>
        <v>1</v>
      </c>
    </row>
    <row r="13" spans="1:7" ht="12.75">
      <c r="A13" s="603"/>
      <c r="B13" s="603"/>
      <c r="C13" s="603"/>
      <c r="D13" s="603"/>
      <c r="E13" s="603"/>
      <c r="F13" s="603"/>
      <c r="G13" s="603"/>
    </row>
    <row r="14" spans="1:7" ht="15.75" customHeight="1">
      <c r="A14" s="604" t="s">
        <v>483</v>
      </c>
      <c r="B14" s="604"/>
      <c r="C14" s="604"/>
      <c r="D14" s="604"/>
      <c r="E14" s="604"/>
      <c r="F14" s="604"/>
      <c r="G14" s="604"/>
    </row>
    <row r="15" spans="1:7" s="312" customFormat="1" ht="25.5" customHeight="1">
      <c r="A15" s="310" t="s">
        <v>477</v>
      </c>
      <c r="B15" s="310">
        <f>Parâmetros!C10</f>
        <v>2022</v>
      </c>
      <c r="C15" s="310" t="s">
        <v>438</v>
      </c>
      <c r="D15" s="310">
        <f>B15-1</f>
        <v>2021</v>
      </c>
      <c r="E15" s="310" t="s">
        <v>438</v>
      </c>
      <c r="F15" s="310">
        <f>D15-1</f>
        <v>2020</v>
      </c>
      <c r="G15" s="327" t="s">
        <v>438</v>
      </c>
    </row>
    <row r="16" spans="1:7" ht="12.75">
      <c r="A16" s="313" t="s">
        <v>478</v>
      </c>
      <c r="B16" s="314">
        <f>D20</f>
        <v>-3734.759999997914</v>
      </c>
      <c r="C16" s="315">
        <f>IF(B20=0,"-",(B16/B20))</f>
        <v>0.2793041402487422</v>
      </c>
      <c r="D16" s="314">
        <f>F20</f>
        <v>-9938.509999997914</v>
      </c>
      <c r="E16" s="315">
        <f>IF(D20=0,"-",(D16/D20))</f>
        <v>2.661083978623383</v>
      </c>
      <c r="F16" s="316">
        <v>45805491.4</v>
      </c>
      <c r="G16" s="315">
        <f>IF(F20=0,"-",(F16/F20))</f>
        <v>-4608.889199689855</v>
      </c>
    </row>
    <row r="17" spans="1:7" ht="12.75">
      <c r="A17" s="313" t="s">
        <v>479</v>
      </c>
      <c r="B17" s="317">
        <v>0</v>
      </c>
      <c r="C17" s="315">
        <f>IF(B20=0,"-",(B17/B20))</f>
        <v>0</v>
      </c>
      <c r="D17" s="317">
        <v>0</v>
      </c>
      <c r="E17" s="315">
        <f>IF(D20=0,"-",(D17/D20))</f>
        <v>0</v>
      </c>
      <c r="F17" s="317">
        <v>0</v>
      </c>
      <c r="G17" s="315">
        <f>IF(F20=0,"-",(F17/F20))</f>
        <v>0</v>
      </c>
    </row>
    <row r="18" spans="1:7" ht="12.75">
      <c r="A18" s="318" t="s">
        <v>480</v>
      </c>
      <c r="B18" s="319">
        <v>-9636.9</v>
      </c>
      <c r="C18" s="320">
        <f>IF(B20=0,"-",(B18/B20))</f>
        <v>0.7206958597512577</v>
      </c>
      <c r="D18" s="319">
        <v>6203.75</v>
      </c>
      <c r="E18" s="320">
        <f>IF(D20=0,"-",(D18/D20))</f>
        <v>-1.6610839786233829</v>
      </c>
      <c r="F18" s="319">
        <v>-45815429.91</v>
      </c>
      <c r="G18" s="320">
        <f>IF(F20=0,"-",(F18/F20))</f>
        <v>4609.889199689855</v>
      </c>
    </row>
    <row r="19" spans="1:9" ht="12.75">
      <c r="A19" s="318" t="s">
        <v>484</v>
      </c>
      <c r="B19" s="319">
        <v>0</v>
      </c>
      <c r="C19" s="320">
        <f>IF(B20=0,"-",(B19/B20))</f>
        <v>0</v>
      </c>
      <c r="D19" s="319">
        <v>0</v>
      </c>
      <c r="E19" s="320">
        <f>IF(D20=0,"-",(D19/D20))</f>
        <v>0</v>
      </c>
      <c r="F19" s="319">
        <v>0</v>
      </c>
      <c r="G19" s="320">
        <f>IF(F20=0,"-",(F19/F20))</f>
        <v>0</v>
      </c>
      <c r="I19" s="164"/>
    </row>
    <row r="20" spans="1:7" ht="12.75">
      <c r="A20" s="325" t="s">
        <v>482</v>
      </c>
      <c r="B20" s="326">
        <f aca="true" t="shared" si="1" ref="B20:G20">SUM(B16:B19)</f>
        <v>-13371.659999997913</v>
      </c>
      <c r="C20" s="320">
        <f t="shared" si="1"/>
        <v>1</v>
      </c>
      <c r="D20" s="326">
        <f t="shared" si="1"/>
        <v>-3734.759999997914</v>
      </c>
      <c r="E20" s="320">
        <f t="shared" si="1"/>
        <v>1</v>
      </c>
      <c r="F20" s="326">
        <f t="shared" si="1"/>
        <v>-9938.509999997914</v>
      </c>
      <c r="G20" s="320">
        <f t="shared" si="1"/>
        <v>1</v>
      </c>
    </row>
    <row r="21" spans="1:7" ht="12.75">
      <c r="A21" s="605"/>
      <c r="B21" s="605"/>
      <c r="C21" s="605"/>
      <c r="D21" s="605"/>
      <c r="E21" s="605"/>
      <c r="F21" s="605"/>
      <c r="G21" s="605"/>
    </row>
    <row r="22" spans="1:7" ht="15.75" customHeight="1">
      <c r="A22" s="604" t="s">
        <v>485</v>
      </c>
      <c r="B22" s="604"/>
      <c r="C22" s="604"/>
      <c r="D22" s="604"/>
      <c r="E22" s="604"/>
      <c r="F22" s="604"/>
      <c r="G22" s="604"/>
    </row>
    <row r="23" spans="1:7" s="312" customFormat="1" ht="25.5" customHeight="1">
      <c r="A23" s="310" t="s">
        <v>477</v>
      </c>
      <c r="B23" s="310">
        <f>Parâmetros!C10</f>
        <v>2022</v>
      </c>
      <c r="C23" s="310" t="s">
        <v>438</v>
      </c>
      <c r="D23" s="310">
        <f>B23-1</f>
        <v>2021</v>
      </c>
      <c r="E23" s="310" t="s">
        <v>438</v>
      </c>
      <c r="F23" s="310">
        <f>D23-1</f>
        <v>2020</v>
      </c>
      <c r="G23" s="311" t="s">
        <v>438</v>
      </c>
    </row>
    <row r="24" spans="1:7" ht="12.75">
      <c r="A24" s="313" t="s">
        <v>478</v>
      </c>
      <c r="B24" s="314">
        <f>B8+B16</f>
        <v>110286118.66</v>
      </c>
      <c r="C24" s="315">
        <f>IF(B28=0,"-",(B24/B28))</f>
        <v>0.8298190344671607</v>
      </c>
      <c r="D24" s="314">
        <f>D8+D16</f>
        <v>84276532.63</v>
      </c>
      <c r="E24" s="315">
        <f>IF(D28=0,"-",(D24/D28))</f>
        <v>0.7641626494247685</v>
      </c>
      <c r="F24" s="314">
        <f>F8+F16</f>
        <v>114955255.52000001</v>
      </c>
      <c r="G24" s="315">
        <f>IF(F28=0,"-",(F24/F28))</f>
        <v>1.3640245028196527</v>
      </c>
    </row>
    <row r="25" spans="1:7" ht="12.75">
      <c r="A25" s="313" t="s">
        <v>479</v>
      </c>
      <c r="B25" s="328">
        <f>B9+B17</f>
        <v>0</v>
      </c>
      <c r="C25" s="315">
        <f>IF(B28=0,"-",(B25/B28))</f>
        <v>0</v>
      </c>
      <c r="D25" s="328">
        <f>D9+D17</f>
        <v>0</v>
      </c>
      <c r="E25" s="315">
        <f>IF(D28=0,"-",(D25/D28))</f>
        <v>0</v>
      </c>
      <c r="F25" s="328">
        <f>F9+F17</f>
        <v>0</v>
      </c>
      <c r="G25" s="315">
        <f>IF(F28=0,"-",(F25/F28))</f>
        <v>0</v>
      </c>
    </row>
    <row r="26" spans="1:7" ht="12.75">
      <c r="A26" s="318" t="s">
        <v>480</v>
      </c>
      <c r="B26" s="329">
        <f>B10+B18</f>
        <v>22617700.220000003</v>
      </c>
      <c r="C26" s="320">
        <f>IF(B28=0,"-",(B26/B28))</f>
        <v>0.17018096553283935</v>
      </c>
      <c r="D26" s="329">
        <f>D10+D18</f>
        <v>26009586.03</v>
      </c>
      <c r="E26" s="320">
        <f>IF(D28=0,"-",(D26/D28))</f>
        <v>0.2358373505752315</v>
      </c>
      <c r="F26" s="329">
        <f>F10+F18</f>
        <v>-30678722.889999997</v>
      </c>
      <c r="G26" s="320">
        <f>IF(F28=0,"-",(F26/F28))</f>
        <v>-0.36402450281965276</v>
      </c>
    </row>
    <row r="27" spans="1:9" ht="12.75">
      <c r="A27" s="318" t="s">
        <v>484</v>
      </c>
      <c r="B27" s="329">
        <f>B11+B19</f>
        <v>0</v>
      </c>
      <c r="C27" s="320">
        <f>IF(B28=0,"-",(B27/B28))</f>
        <v>0</v>
      </c>
      <c r="D27" s="329">
        <f>D11+D19</f>
        <v>0</v>
      </c>
      <c r="E27" s="320">
        <f>IF(D28=0,"-",(D27/D28))</f>
        <v>0</v>
      </c>
      <c r="F27" s="329">
        <f>F11+F19</f>
        <v>0</v>
      </c>
      <c r="G27" s="320">
        <f>IF(F28=0,"-",(F27/F28))</f>
        <v>0</v>
      </c>
      <c r="I27" s="330"/>
    </row>
    <row r="28" spans="1:7" ht="12.75">
      <c r="A28" s="325" t="s">
        <v>482</v>
      </c>
      <c r="B28" s="331">
        <f aca="true" t="shared" si="2" ref="B28:G28">SUM(B24:B27)</f>
        <v>132903818.88</v>
      </c>
      <c r="C28" s="320">
        <f t="shared" si="2"/>
        <v>1</v>
      </c>
      <c r="D28" s="326">
        <f t="shared" si="2"/>
        <v>110286118.66</v>
      </c>
      <c r="E28" s="320">
        <f t="shared" si="2"/>
        <v>1</v>
      </c>
      <c r="F28" s="326">
        <f t="shared" si="2"/>
        <v>84276532.63000001</v>
      </c>
      <c r="G28" s="320">
        <f t="shared" si="2"/>
        <v>1</v>
      </c>
    </row>
    <row r="29" spans="1:7" ht="21" customHeight="1">
      <c r="A29" s="606" t="s">
        <v>486</v>
      </c>
      <c r="B29" s="606"/>
      <c r="C29" s="606"/>
      <c r="D29" s="606"/>
      <c r="E29" s="606"/>
      <c r="F29" s="606"/>
      <c r="G29" s="606"/>
    </row>
    <row r="33" ht="12.75">
      <c r="I33" s="164"/>
    </row>
    <row r="43" ht="12.75">
      <c r="H43" s="250" t="s">
        <v>487</v>
      </c>
    </row>
  </sheetData>
  <sheetProtection selectLockedCells="1" selectUnlockedCells="1"/>
  <mergeCells count="11">
    <mergeCell ref="A1:G1"/>
    <mergeCell ref="A2:G2"/>
    <mergeCell ref="A3:G3"/>
    <mergeCell ref="A4:G4"/>
    <mergeCell ref="A5:G5"/>
    <mergeCell ref="A6:B6"/>
    <mergeCell ref="A13:G13"/>
    <mergeCell ref="A14:G14"/>
    <mergeCell ref="A21:G21"/>
    <mergeCell ref="A22:G22"/>
    <mergeCell ref="A29:G29"/>
  </mergeCells>
  <printOptions/>
  <pageMargins left="0.7875" right="0.7875" top="0.9840277777777777" bottom="0.9840277777777777" header="0.5118055555555555" footer="0.5118055555555555"/>
  <pageSetup horizontalDpi="300" verticalDpi="300" orientation="portrait" scale="84"/>
  <drawing r:id="rId1"/>
</worksheet>
</file>

<file path=xl/worksheets/sheet12.xml><?xml version="1.0" encoding="utf-8"?>
<worksheet xmlns="http://schemas.openxmlformats.org/spreadsheetml/2006/main" xmlns:r="http://schemas.openxmlformats.org/officeDocument/2006/relationships">
  <sheetPr codeName="Plan15"/>
  <dimension ref="A1:D31"/>
  <sheetViews>
    <sheetView zoomScale="120" zoomScaleNormal="120" zoomScaleSheetLayoutView="90" zoomScalePageLayoutView="0" workbookViewId="0" topLeftCell="A10">
      <selection activeCell="G11" sqref="G11"/>
    </sheetView>
  </sheetViews>
  <sheetFormatPr defaultColWidth="8.8515625" defaultRowHeight="12.75"/>
  <cols>
    <col min="1" max="1" width="58.140625" style="250" customWidth="1"/>
    <col min="2" max="3" width="14.421875" style="250" customWidth="1"/>
    <col min="4" max="4" width="15.421875" style="250" customWidth="1"/>
    <col min="5" max="16384" width="8.8515625" style="250" customWidth="1"/>
  </cols>
  <sheetData>
    <row r="1" spans="1:4" ht="12.75">
      <c r="A1" s="610" t="str">
        <f>Parâmetros!A7</f>
        <v>Município de Ivoti</v>
      </c>
      <c r="B1" s="610"/>
      <c r="C1" s="610"/>
      <c r="D1" s="610"/>
    </row>
    <row r="2" spans="1:4" ht="12.75">
      <c r="A2" s="611" t="s">
        <v>381</v>
      </c>
      <c r="B2" s="611"/>
      <c r="C2" s="611"/>
      <c r="D2" s="611"/>
    </row>
    <row r="3" spans="1:4" ht="12.75">
      <c r="A3" s="611" t="s">
        <v>382</v>
      </c>
      <c r="B3" s="611"/>
      <c r="C3" s="611"/>
      <c r="D3" s="611"/>
    </row>
    <row r="4" spans="1:4" ht="12.75">
      <c r="A4" s="612" t="s">
        <v>488</v>
      </c>
      <c r="B4" s="612"/>
      <c r="C4" s="612"/>
      <c r="D4" s="612"/>
    </row>
    <row r="5" spans="1:4" ht="12.75">
      <c r="A5" s="611" t="s">
        <v>489</v>
      </c>
      <c r="B5" s="611"/>
      <c r="C5" s="611"/>
      <c r="D5" s="611"/>
    </row>
    <row r="6" spans="1:4" ht="12.75">
      <c r="A6" s="611"/>
      <c r="B6" s="611"/>
      <c r="C6" s="611"/>
      <c r="D6" s="611"/>
    </row>
    <row r="7" spans="1:4" ht="12.75">
      <c r="A7" s="332" t="s">
        <v>490</v>
      </c>
      <c r="B7" s="333"/>
      <c r="C7" s="333"/>
      <c r="D7" s="334">
        <v>1</v>
      </c>
    </row>
    <row r="8" spans="1:4" s="312" customFormat="1" ht="25.5" customHeight="1">
      <c r="A8" s="533" t="s">
        <v>491</v>
      </c>
      <c r="B8" s="335">
        <f>Parâmetros!$C$10</f>
        <v>2022</v>
      </c>
      <c r="C8" s="335">
        <f>B8-1</f>
        <v>2021</v>
      </c>
      <c r="D8" s="336">
        <f>C8-1</f>
        <v>2020</v>
      </c>
    </row>
    <row r="9" spans="1:4" s="312" customFormat="1" ht="25.5" customHeight="1">
      <c r="A9" s="534" t="s">
        <v>492</v>
      </c>
      <c r="B9" s="531"/>
      <c r="C9" s="337"/>
      <c r="D9" s="338"/>
    </row>
    <row r="10" spans="1:4" ht="12.75" customHeight="1">
      <c r="A10" s="535" t="s">
        <v>493</v>
      </c>
      <c r="B10" s="339">
        <f>B11</f>
        <v>787939.53</v>
      </c>
      <c r="C10" s="340">
        <f>C11</f>
        <v>1593063.5599999998</v>
      </c>
      <c r="D10" s="340">
        <f>D11</f>
        <v>223566.11</v>
      </c>
    </row>
    <row r="11" spans="1:4" ht="12.75" customHeight="1">
      <c r="A11" s="535" t="s">
        <v>494</v>
      </c>
      <c r="B11" s="339">
        <f>B12+B13+B14+B15</f>
        <v>787939.53</v>
      </c>
      <c r="C11" s="340">
        <f>C12+C13+C14+C15</f>
        <v>1593063.5599999998</v>
      </c>
      <c r="D11" s="340">
        <f>D12+D13+D14+D15</f>
        <v>223566.11</v>
      </c>
    </row>
    <row r="12" spans="1:4" ht="12.75" customHeight="1">
      <c r="A12" s="535" t="s">
        <v>495</v>
      </c>
      <c r="B12" s="340">
        <v>148925</v>
      </c>
      <c r="C12" s="341">
        <v>2050</v>
      </c>
      <c r="D12" s="341">
        <v>201600</v>
      </c>
    </row>
    <row r="13" spans="1:4" ht="12.75" customHeight="1">
      <c r="A13" s="535" t="s">
        <v>496</v>
      </c>
      <c r="B13" s="340">
        <v>443988.33</v>
      </c>
      <c r="C13" s="341">
        <v>1551373.17</v>
      </c>
      <c r="D13" s="341">
        <v>21820.99</v>
      </c>
    </row>
    <row r="14" spans="1:4" ht="12.75" customHeight="1">
      <c r="A14" s="535" t="s">
        <v>497</v>
      </c>
      <c r="B14" s="341">
        <v>0</v>
      </c>
      <c r="C14" s="341">
        <v>0</v>
      </c>
      <c r="D14" s="341">
        <v>0</v>
      </c>
    </row>
    <row r="15" spans="1:4" ht="12.75" customHeight="1">
      <c r="A15" s="535" t="s">
        <v>498</v>
      </c>
      <c r="B15" s="342">
        <v>195026.2</v>
      </c>
      <c r="C15" s="342">
        <v>39640.39</v>
      </c>
      <c r="D15" s="342">
        <v>145.12</v>
      </c>
    </row>
    <row r="16" spans="1:4" ht="12.75">
      <c r="A16" s="536" t="s">
        <v>499</v>
      </c>
      <c r="B16" s="532">
        <f>B12+B13+B14+B15</f>
        <v>787939.53</v>
      </c>
      <c r="C16" s="343">
        <f>C12+C13+C14+C15</f>
        <v>1593063.5599999998</v>
      </c>
      <c r="D16" s="343">
        <f>D12+D13+D14+D15</f>
        <v>223566.11</v>
      </c>
    </row>
    <row r="17" spans="1:4" ht="12.75">
      <c r="A17" s="614"/>
      <c r="B17" s="614"/>
      <c r="C17" s="614"/>
      <c r="D17" s="614"/>
    </row>
    <row r="18" spans="1:4" s="312" customFormat="1" ht="12.75" customHeight="1">
      <c r="A18" s="615" t="s">
        <v>500</v>
      </c>
      <c r="B18" s="616">
        <f>B8</f>
        <v>2022</v>
      </c>
      <c r="C18" s="616">
        <f>B18-1</f>
        <v>2021</v>
      </c>
      <c r="D18" s="616">
        <f>C18-1</f>
        <v>2020</v>
      </c>
    </row>
    <row r="19" spans="1:4" s="312" customFormat="1" ht="12.75">
      <c r="A19" s="615"/>
      <c r="B19" s="616"/>
      <c r="C19" s="616"/>
      <c r="D19" s="616"/>
    </row>
    <row r="20" spans="1:4" ht="12.75">
      <c r="A20" s="344" t="s">
        <v>501</v>
      </c>
      <c r="B20" s="345"/>
      <c r="C20" s="345"/>
      <c r="D20" s="346"/>
    </row>
    <row r="21" spans="1:4" ht="12.75">
      <c r="A21" s="344" t="s">
        <v>502</v>
      </c>
      <c r="B21" s="347">
        <f>B22</f>
        <v>328232.08</v>
      </c>
      <c r="C21" s="347">
        <f>C22+C23+C24</f>
        <v>43587.39</v>
      </c>
      <c r="D21" s="348">
        <f>D22+D23+D24</f>
        <v>342120.32</v>
      </c>
    </row>
    <row r="22" spans="1:4" ht="12.75">
      <c r="A22" s="344" t="s">
        <v>503</v>
      </c>
      <c r="B22" s="349">
        <f>(321284.08+6948)</f>
        <v>328232.08</v>
      </c>
      <c r="C22" s="349">
        <v>43587.39</v>
      </c>
      <c r="D22" s="350">
        <v>342120.32</v>
      </c>
    </row>
    <row r="23" spans="1:4" ht="12.75">
      <c r="A23" s="344" t="s">
        <v>504</v>
      </c>
      <c r="B23" s="349"/>
      <c r="C23" s="349"/>
      <c r="D23" s="350"/>
    </row>
    <row r="24" spans="1:4" ht="12.75">
      <c r="A24" s="344" t="s">
        <v>505</v>
      </c>
      <c r="B24" s="349"/>
      <c r="C24" s="349">
        <v>0</v>
      </c>
      <c r="D24" s="350">
        <v>0</v>
      </c>
    </row>
    <row r="25" spans="1:4" ht="12.75">
      <c r="A25" s="344" t="s">
        <v>506</v>
      </c>
      <c r="B25" s="347">
        <f>B26+B27</f>
        <v>0</v>
      </c>
      <c r="C25" s="347">
        <f>C26+C27</f>
        <v>0</v>
      </c>
      <c r="D25" s="348">
        <f>D26+D27</f>
        <v>0</v>
      </c>
    </row>
    <row r="26" spans="1:4" ht="12.75">
      <c r="A26" s="344" t="s">
        <v>507</v>
      </c>
      <c r="B26" s="349">
        <v>0</v>
      </c>
      <c r="C26" s="349">
        <v>0</v>
      </c>
      <c r="D26" s="350">
        <v>0</v>
      </c>
    </row>
    <row r="27" spans="1:4" ht="12.75">
      <c r="A27" s="351" t="s">
        <v>508</v>
      </c>
      <c r="B27" s="352">
        <v>0</v>
      </c>
      <c r="C27" s="352">
        <v>0</v>
      </c>
      <c r="D27" s="353">
        <v>0</v>
      </c>
    </row>
    <row r="28" spans="1:4" ht="12.75">
      <c r="A28" s="354" t="s">
        <v>499</v>
      </c>
      <c r="B28" s="355">
        <f>B21+B25</f>
        <v>328232.08</v>
      </c>
      <c r="C28" s="355">
        <f>C21+C25</f>
        <v>43587.39</v>
      </c>
      <c r="D28" s="356">
        <f>D21+D25</f>
        <v>342120.32</v>
      </c>
    </row>
    <row r="29" spans="1:4" ht="12.75" customHeight="1">
      <c r="A29" s="617" t="s">
        <v>509</v>
      </c>
      <c r="B29" s="352"/>
      <c r="C29" s="352"/>
      <c r="D29" s="353"/>
    </row>
    <row r="30" spans="1:4" ht="12.75">
      <c r="A30" s="617"/>
      <c r="B30" s="357">
        <f>C30+B16-B28</f>
        <v>2043407.5699999998</v>
      </c>
      <c r="C30" s="355">
        <f>D30+C16-C28</f>
        <v>1583700.1199999999</v>
      </c>
      <c r="D30" s="358">
        <f>152778.16+D16-D28</f>
        <v>34223.95000000001</v>
      </c>
    </row>
    <row r="31" spans="1:4" ht="12.75">
      <c r="A31" s="613" t="s">
        <v>510</v>
      </c>
      <c r="B31" s="613"/>
      <c r="C31" s="613"/>
      <c r="D31" s="613"/>
    </row>
  </sheetData>
  <sheetProtection selectLockedCells="1" selectUnlockedCells="1"/>
  <mergeCells count="13">
    <mergeCell ref="A31:D31"/>
    <mergeCell ref="A17:D17"/>
    <mergeCell ref="A18:A19"/>
    <mergeCell ref="B18:B19"/>
    <mergeCell ref="C18:C19"/>
    <mergeCell ref="D18:D19"/>
    <mergeCell ref="A29:A30"/>
    <mergeCell ref="A1:D1"/>
    <mergeCell ref="A2:D2"/>
    <mergeCell ref="A3:D3"/>
    <mergeCell ref="A4:D4"/>
    <mergeCell ref="A5:D5"/>
    <mergeCell ref="A6:D6"/>
  </mergeCells>
  <printOptions/>
  <pageMargins left="0.7875" right="0.7875" top="0.9840277777777777" bottom="0.9840277777777777" header="0.5118055555555555" footer="0.5118055555555555"/>
  <pageSetup horizontalDpi="300" verticalDpi="300" orientation="portrait" scale="84"/>
  <drawing r:id="rId1"/>
</worksheet>
</file>

<file path=xl/worksheets/sheet13.xml><?xml version="1.0" encoding="utf-8"?>
<worksheet xmlns="http://schemas.openxmlformats.org/spreadsheetml/2006/main" xmlns:r="http://schemas.openxmlformats.org/officeDocument/2006/relationships">
  <sheetPr codeName="Dem-6-RPPS">
    <pageSetUpPr fitToPage="1"/>
  </sheetPr>
  <dimension ref="A1:P93"/>
  <sheetViews>
    <sheetView zoomScale="120" zoomScaleNormal="120" zoomScalePageLayoutView="0" workbookViewId="0" topLeftCell="A1">
      <selection activeCell="I73" sqref="I73"/>
    </sheetView>
  </sheetViews>
  <sheetFormatPr defaultColWidth="4.00390625" defaultRowHeight="11.25" customHeight="1"/>
  <cols>
    <col min="1" max="1" width="58.57421875" style="251" customWidth="1"/>
    <col min="2" max="2" width="15.28125" style="251" customWidth="1"/>
    <col min="3" max="3" width="16.421875" style="251" customWidth="1"/>
    <col min="4" max="4" width="14.8515625" style="251" customWidth="1"/>
    <col min="5" max="255" width="4.00390625" style="251" customWidth="1"/>
  </cols>
  <sheetData>
    <row r="1" spans="1:3" ht="12.75" customHeight="1">
      <c r="A1" s="618" t="e">
        <f>#REF!</f>
        <v>#REF!</v>
      </c>
      <c r="B1" s="618"/>
      <c r="C1" s="618"/>
    </row>
    <row r="2" spans="1:3" ht="12.75" customHeight="1">
      <c r="A2" s="619" t="s">
        <v>381</v>
      </c>
      <c r="B2" s="619"/>
      <c r="C2" s="619"/>
    </row>
    <row r="3" spans="1:3" ht="12.75" customHeight="1">
      <c r="A3" s="619" t="s">
        <v>382</v>
      </c>
      <c r="B3" s="619"/>
      <c r="C3" s="619"/>
    </row>
    <row r="4" spans="1:3" ht="12.75" customHeight="1">
      <c r="A4" s="620" t="s">
        <v>511</v>
      </c>
      <c r="B4" s="620"/>
      <c r="C4" s="620"/>
    </row>
    <row r="5" spans="1:3" ht="12.75" customHeight="1">
      <c r="A5" s="619" t="s">
        <v>512</v>
      </c>
      <c r="B5" s="619"/>
      <c r="C5" s="619"/>
    </row>
    <row r="6" spans="1:3" ht="11.25" customHeight="1">
      <c r="A6" s="359"/>
      <c r="B6" s="359"/>
      <c r="C6" s="359"/>
    </row>
    <row r="7" spans="1:4" ht="11.25" customHeight="1">
      <c r="A7" s="621" t="s">
        <v>513</v>
      </c>
      <c r="B7" s="621"/>
      <c r="C7" s="621"/>
      <c r="D7" s="360">
        <v>1</v>
      </c>
    </row>
    <row r="8" spans="1:4" ht="19.5" customHeight="1">
      <c r="A8" s="622" t="s">
        <v>514</v>
      </c>
      <c r="B8" s="622"/>
      <c r="C8" s="622"/>
      <c r="D8" s="622"/>
    </row>
    <row r="9" spans="1:4" s="286" customFormat="1" ht="15" customHeight="1">
      <c r="A9" s="623" t="s">
        <v>515</v>
      </c>
      <c r="B9" s="623"/>
      <c r="C9" s="623"/>
      <c r="D9" s="623"/>
    </row>
    <row r="10" spans="1:4" ht="12.75" customHeight="1">
      <c r="A10" s="361" t="s">
        <v>516</v>
      </c>
      <c r="B10" s="362">
        <v>2020</v>
      </c>
      <c r="C10" s="363">
        <v>2021</v>
      </c>
      <c r="D10" s="364">
        <v>2022</v>
      </c>
    </row>
    <row r="11" spans="1:4" ht="12.75" customHeight="1">
      <c r="A11" s="251" t="s">
        <v>517</v>
      </c>
      <c r="B11" s="365">
        <f>B12+B21+B30+B34+B35</f>
        <v>14920375.139999999</v>
      </c>
      <c r="C11" s="366">
        <f>C12+C21+C30+C34+C35</f>
        <v>13856982.680000002</v>
      </c>
      <c r="D11" s="367">
        <f>D12+D21+D30+D34+D35</f>
        <v>20195392.79</v>
      </c>
    </row>
    <row r="12" spans="1:4" ht="12.75" customHeight="1">
      <c r="A12" s="368" t="s">
        <v>518</v>
      </c>
      <c r="B12" s="365">
        <f>B13</f>
        <v>2788180.8</v>
      </c>
      <c r="C12" s="366">
        <f>C13</f>
        <v>3688740.98</v>
      </c>
      <c r="D12" s="367">
        <f>D13</f>
        <v>3531169.69</v>
      </c>
    </row>
    <row r="13" spans="1:4" ht="12.75" customHeight="1">
      <c r="A13" s="369" t="s">
        <v>519</v>
      </c>
      <c r="B13" s="365">
        <f>B14+B15+B16</f>
        <v>2788180.8</v>
      </c>
      <c r="C13" s="366">
        <f>C14+C15+C16</f>
        <v>3688740.98</v>
      </c>
      <c r="D13" s="367">
        <f>D14+D15+D16</f>
        <v>3531169.69</v>
      </c>
    </row>
    <row r="14" spans="1:4" ht="12.75" customHeight="1">
      <c r="A14" s="370" t="s">
        <v>520</v>
      </c>
      <c r="B14" s="366">
        <v>2779756.8</v>
      </c>
      <c r="C14" s="367">
        <v>3679944.38</v>
      </c>
      <c r="D14" s="367">
        <v>3520658.79</v>
      </c>
    </row>
    <row r="15" spans="1:4" ht="12.75" customHeight="1">
      <c r="A15" s="370" t="s">
        <v>521</v>
      </c>
      <c r="B15" s="366">
        <v>8424</v>
      </c>
      <c r="C15" s="367">
        <v>8796.6</v>
      </c>
      <c r="D15" s="367">
        <v>9872.9</v>
      </c>
    </row>
    <row r="16" spans="1:4" ht="12.75" customHeight="1">
      <c r="A16" s="370" t="s">
        <v>522</v>
      </c>
      <c r="B16" s="365"/>
      <c r="C16" s="366"/>
      <c r="D16" s="367">
        <v>638</v>
      </c>
    </row>
    <row r="17" spans="1:4" ht="12.75" customHeight="1">
      <c r="A17" s="369" t="s">
        <v>523</v>
      </c>
      <c r="B17" s="365"/>
      <c r="C17" s="366"/>
      <c r="D17" s="367"/>
    </row>
    <row r="18" spans="1:4" ht="12.75" customHeight="1">
      <c r="A18" s="370" t="s">
        <v>520</v>
      </c>
      <c r="B18" s="365"/>
      <c r="C18" s="366"/>
      <c r="D18" s="367"/>
    </row>
    <row r="19" spans="1:4" ht="12.75" customHeight="1">
      <c r="A19" s="370" t="s">
        <v>521</v>
      </c>
      <c r="B19" s="365"/>
      <c r="C19" s="366"/>
      <c r="D19" s="367"/>
    </row>
    <row r="20" spans="1:4" ht="12.75" customHeight="1">
      <c r="A20" s="370" t="s">
        <v>522</v>
      </c>
      <c r="B20" s="365"/>
      <c r="C20" s="366"/>
      <c r="D20" s="367"/>
    </row>
    <row r="21" spans="1:4" ht="12.75" customHeight="1">
      <c r="A21" s="251" t="s">
        <v>524</v>
      </c>
      <c r="B21" s="365">
        <f>B22</f>
        <v>7761034.4399999995</v>
      </c>
      <c r="C21" s="366">
        <f>C22</f>
        <v>8172024.5600000005</v>
      </c>
      <c r="D21" s="367">
        <f>D22</f>
        <v>7819014.620000001</v>
      </c>
    </row>
    <row r="22" spans="1:4" ht="12.75" customHeight="1">
      <c r="A22" s="369" t="s">
        <v>519</v>
      </c>
      <c r="B22" s="365">
        <f>B23+B24</f>
        <v>7761034.4399999995</v>
      </c>
      <c r="C22" s="366">
        <f>C23+C24</f>
        <v>8172024.5600000005</v>
      </c>
      <c r="D22" s="367">
        <f>D23+D24+D25</f>
        <v>7819014.620000001</v>
      </c>
    </row>
    <row r="23" spans="1:4" ht="12.75" customHeight="1">
      <c r="A23" s="370" t="s">
        <v>520</v>
      </c>
      <c r="B23" s="371">
        <f>7728621.43+9147.09</f>
        <v>7737768.52</v>
      </c>
      <c r="C23" s="367">
        <v>8152546.4</v>
      </c>
      <c r="D23" s="367">
        <v>7795740.69</v>
      </c>
    </row>
    <row r="24" spans="1:4" ht="12.75" customHeight="1">
      <c r="A24" s="370" t="s">
        <v>521</v>
      </c>
      <c r="B24" s="366">
        <v>23265.92</v>
      </c>
      <c r="C24" s="367">
        <v>19478.16</v>
      </c>
      <c r="D24" s="367">
        <v>21861.23</v>
      </c>
    </row>
    <row r="25" spans="1:4" ht="12.75" customHeight="1">
      <c r="A25" s="370" t="s">
        <v>522</v>
      </c>
      <c r="B25" s="365"/>
      <c r="C25" s="366"/>
      <c r="D25" s="367">
        <v>1412.7</v>
      </c>
    </row>
    <row r="26" spans="1:4" ht="12.75" customHeight="1">
      <c r="A26" s="369" t="s">
        <v>523</v>
      </c>
      <c r="B26" s="365"/>
      <c r="C26" s="366"/>
      <c r="D26" s="367"/>
    </row>
    <row r="27" spans="1:4" ht="12.75" customHeight="1">
      <c r="A27" s="370" t="s">
        <v>520</v>
      </c>
      <c r="B27" s="365"/>
      <c r="C27" s="366"/>
      <c r="D27" s="367"/>
    </row>
    <row r="28" spans="1:4" ht="12.75" customHeight="1">
      <c r="A28" s="370" t="s">
        <v>521</v>
      </c>
      <c r="B28" s="365"/>
      <c r="C28" s="366"/>
      <c r="D28" s="367"/>
    </row>
    <row r="29" spans="1:4" ht="12.75" customHeight="1">
      <c r="A29" s="370" t="s">
        <v>522</v>
      </c>
      <c r="B29" s="365"/>
      <c r="C29" s="366"/>
      <c r="D29" s="367"/>
    </row>
    <row r="30" spans="1:4" ht="12.75" customHeight="1">
      <c r="A30" s="368" t="s">
        <v>54</v>
      </c>
      <c r="B30" s="365">
        <f>B32</f>
        <v>4216605.9</v>
      </c>
      <c r="C30" s="366">
        <f>C32</f>
        <v>1871085.68</v>
      </c>
      <c r="D30" s="367">
        <f>D32</f>
        <v>8666945.9</v>
      </c>
    </row>
    <row r="31" spans="1:4" ht="12.75" customHeight="1">
      <c r="A31" s="369" t="s">
        <v>525</v>
      </c>
      <c r="B31" s="365"/>
      <c r="C31" s="366"/>
      <c r="D31" s="367"/>
    </row>
    <row r="32" spans="1:4" ht="12.75" customHeight="1">
      <c r="A32" s="369" t="s">
        <v>526</v>
      </c>
      <c r="B32" s="366">
        <v>4216605.9</v>
      </c>
      <c r="C32" s="367">
        <v>1871085.68</v>
      </c>
      <c r="D32" s="367">
        <v>8666945.9</v>
      </c>
    </row>
    <row r="33" spans="1:4" ht="12.75" customHeight="1">
      <c r="A33" s="369" t="s">
        <v>527</v>
      </c>
      <c r="B33" s="365"/>
      <c r="C33" s="366"/>
      <c r="D33" s="367"/>
    </row>
    <row r="34" spans="1:4" ht="12.75" customHeight="1">
      <c r="A34" s="368" t="s">
        <v>78</v>
      </c>
      <c r="B34" s="365"/>
      <c r="C34" s="366"/>
      <c r="D34" s="367"/>
    </row>
    <row r="35" spans="1:4" ht="12.75" customHeight="1">
      <c r="A35" s="368" t="s">
        <v>139</v>
      </c>
      <c r="B35" s="365">
        <f>B36</f>
        <v>154554</v>
      </c>
      <c r="C35" s="366">
        <f>C36</f>
        <v>125131.46</v>
      </c>
      <c r="D35" s="367">
        <f>D36</f>
        <v>178262.58</v>
      </c>
    </row>
    <row r="36" spans="1:4" ht="12.75" customHeight="1">
      <c r="A36" s="369" t="s">
        <v>528</v>
      </c>
      <c r="B36" s="366">
        <v>154554</v>
      </c>
      <c r="C36" s="367">
        <v>125131.46</v>
      </c>
      <c r="D36" s="367">
        <v>178262.58</v>
      </c>
    </row>
    <row r="37" spans="1:4" ht="12.75" customHeight="1">
      <c r="A37" s="372" t="s">
        <v>529</v>
      </c>
      <c r="B37" s="365"/>
      <c r="C37" s="366"/>
      <c r="D37" s="367"/>
    </row>
    <row r="38" spans="1:4" ht="12.75" customHeight="1">
      <c r="A38" s="369" t="s">
        <v>149</v>
      </c>
      <c r="B38" s="365"/>
      <c r="C38" s="366"/>
      <c r="D38" s="367"/>
    </row>
    <row r="39" spans="1:4" ht="12.75" customHeight="1">
      <c r="A39" s="251" t="s">
        <v>530</v>
      </c>
      <c r="B39" s="365"/>
      <c r="C39" s="366"/>
      <c r="D39" s="367"/>
    </row>
    <row r="40" spans="1:4" ht="12.75" customHeight="1">
      <c r="A40" s="368" t="s">
        <v>531</v>
      </c>
      <c r="B40" s="365"/>
      <c r="C40" s="366"/>
      <c r="D40" s="367"/>
    </row>
    <row r="41" spans="1:4" ht="12.75" customHeight="1">
      <c r="A41" s="368" t="s">
        <v>175</v>
      </c>
      <c r="B41" s="365"/>
      <c r="C41" s="366"/>
      <c r="D41" s="367"/>
    </row>
    <row r="42" spans="1:4" ht="12.75" customHeight="1">
      <c r="A42" s="368" t="s">
        <v>187</v>
      </c>
      <c r="B42" s="365"/>
      <c r="C42" s="366"/>
      <c r="D42" s="367"/>
    </row>
    <row r="43" spans="1:4" ht="12.75" customHeight="1">
      <c r="A43" s="373" t="s">
        <v>532</v>
      </c>
      <c r="B43" s="374">
        <f>B11</f>
        <v>14920375.139999999</v>
      </c>
      <c r="C43" s="375">
        <f>C11</f>
        <v>13856982.680000002</v>
      </c>
      <c r="D43" s="374">
        <f>D11</f>
        <v>20195392.79</v>
      </c>
    </row>
    <row r="44" ht="6.75" customHeight="1"/>
    <row r="45" spans="1:4" ht="12.75" customHeight="1">
      <c r="A45" s="376" t="s">
        <v>533</v>
      </c>
      <c r="B45" s="377">
        <f>B10</f>
        <v>2020</v>
      </c>
      <c r="C45" s="377">
        <f>C10</f>
        <v>2021</v>
      </c>
      <c r="D45" s="377">
        <f>D10</f>
        <v>2022</v>
      </c>
    </row>
    <row r="46" spans="1:4" ht="12.75" customHeight="1">
      <c r="A46" s="368" t="s">
        <v>534</v>
      </c>
      <c r="B46" s="365">
        <f>B47+B48+B49</f>
        <v>3893272.1999999997</v>
      </c>
      <c r="C46" s="366">
        <f>C47+C48+C49</f>
        <v>4049054.96</v>
      </c>
      <c r="D46" s="367">
        <f>D47+D48+D49</f>
        <v>5278734.26</v>
      </c>
    </row>
    <row r="47" spans="1:4" ht="12.75" customHeight="1">
      <c r="A47" s="378" t="s">
        <v>535</v>
      </c>
      <c r="B47" s="366">
        <v>3253166.58</v>
      </c>
      <c r="C47" s="367">
        <v>3763058.32</v>
      </c>
      <c r="D47" s="367">
        <v>4843157.37</v>
      </c>
    </row>
    <row r="48" spans="1:4" ht="12.75" customHeight="1">
      <c r="A48" s="378" t="s">
        <v>536</v>
      </c>
      <c r="B48" s="366">
        <v>269985.55</v>
      </c>
      <c r="C48" s="367">
        <v>285996.64</v>
      </c>
      <c r="D48" s="367">
        <v>435576.89</v>
      </c>
    </row>
    <row r="49" spans="1:4" ht="12.75" customHeight="1">
      <c r="A49" s="378" t="s">
        <v>537</v>
      </c>
      <c r="B49" s="366">
        <v>370120.07</v>
      </c>
      <c r="C49" s="366"/>
      <c r="D49" s="367"/>
    </row>
    <row r="50" spans="1:4" ht="12.75" customHeight="1">
      <c r="A50" s="368" t="s">
        <v>538</v>
      </c>
      <c r="B50" s="379"/>
      <c r="C50" s="380"/>
      <c r="D50" s="381"/>
    </row>
    <row r="51" spans="1:4" ht="12.75" customHeight="1">
      <c r="A51" s="378" t="s">
        <v>539</v>
      </c>
      <c r="B51" s="379"/>
      <c r="C51" s="380"/>
      <c r="D51" s="381"/>
    </row>
    <row r="52" spans="1:4" ht="12.75" customHeight="1">
      <c r="A52" s="378" t="s">
        <v>536</v>
      </c>
      <c r="B52" s="379"/>
      <c r="C52" s="380"/>
      <c r="D52" s="381"/>
    </row>
    <row r="53" spans="1:4" ht="12.75" customHeight="1">
      <c r="A53" s="378" t="s">
        <v>537</v>
      </c>
      <c r="B53" s="379"/>
      <c r="C53" s="380"/>
      <c r="D53" s="381"/>
    </row>
    <row r="54" spans="1:4" ht="12.75" customHeight="1">
      <c r="A54" s="382" t="s">
        <v>540</v>
      </c>
      <c r="B54" s="365">
        <f>B55+B56</f>
        <v>353042.33999999997</v>
      </c>
      <c r="C54" s="366">
        <f>C55</f>
        <v>57605.21</v>
      </c>
      <c r="D54" s="367">
        <f>D55</f>
        <v>60744.19</v>
      </c>
    </row>
    <row r="55" spans="1:4" ht="12.75" customHeight="1">
      <c r="A55" s="378" t="s">
        <v>541</v>
      </c>
      <c r="B55" s="366">
        <v>134909.05</v>
      </c>
      <c r="C55" s="383">
        <v>57605.21</v>
      </c>
      <c r="D55" s="381">
        <v>60744.19</v>
      </c>
    </row>
    <row r="56" spans="1:4" ht="12.75" customHeight="1">
      <c r="A56" s="378" t="s">
        <v>542</v>
      </c>
      <c r="B56" s="371">
        <v>218133.29</v>
      </c>
      <c r="C56" s="366"/>
      <c r="D56" s="381"/>
    </row>
    <row r="57" spans="1:4" ht="12.75" customHeight="1">
      <c r="A57" s="384" t="s">
        <v>543</v>
      </c>
      <c r="B57" s="385">
        <f>B46+B54</f>
        <v>4246314.54</v>
      </c>
      <c r="C57" s="386">
        <f>C46+C54</f>
        <v>4106660.17</v>
      </c>
      <c r="D57" s="387">
        <f>D46+D54</f>
        <v>5339478.45</v>
      </c>
    </row>
    <row r="58" spans="1:3" ht="7.5" customHeight="1">
      <c r="A58" s="388"/>
      <c r="B58" s="389"/>
      <c r="C58" s="390"/>
    </row>
    <row r="59" spans="1:4" ht="12.75" customHeight="1">
      <c r="A59" s="391" t="s">
        <v>544</v>
      </c>
      <c r="B59" s="385">
        <f>B43-B57</f>
        <v>10674060.599999998</v>
      </c>
      <c r="C59" s="387">
        <f>C43-C57</f>
        <v>9750322.510000002</v>
      </c>
      <c r="D59" s="387">
        <f>D43-D57</f>
        <v>14855914.34</v>
      </c>
    </row>
    <row r="60" spans="1:4" ht="8.25" customHeight="1">
      <c r="A60" s="392"/>
      <c r="B60" s="393"/>
      <c r="C60" s="394"/>
      <c r="D60" s="394"/>
    </row>
    <row r="61" spans="1:6" s="398" customFormat="1" ht="12.75" customHeight="1">
      <c r="A61" s="395" t="s">
        <v>545</v>
      </c>
      <c r="B61" s="377">
        <f>B45</f>
        <v>2020</v>
      </c>
      <c r="C61" s="377">
        <f>C45</f>
        <v>2021</v>
      </c>
      <c r="D61" s="396">
        <f>D45</f>
        <v>2022</v>
      </c>
      <c r="E61" s="397"/>
      <c r="F61" s="397"/>
    </row>
    <row r="62" spans="1:6" ht="12.75" customHeight="1">
      <c r="A62" s="399" t="s">
        <v>546</v>
      </c>
      <c r="B62" s="624"/>
      <c r="C62" s="624"/>
      <c r="D62" s="624"/>
      <c r="E62" s="400"/>
      <c r="F62" s="400"/>
    </row>
    <row r="63" spans="1:4" ht="7.5" customHeight="1">
      <c r="A63" s="392"/>
      <c r="B63" s="393"/>
      <c r="C63" s="401"/>
      <c r="D63" s="401"/>
    </row>
    <row r="64" spans="1:4" ht="12.75" customHeight="1">
      <c r="A64" s="395" t="s">
        <v>547</v>
      </c>
      <c r="B64" s="402">
        <f>B61</f>
        <v>2020</v>
      </c>
      <c r="C64" s="402">
        <f>C61</f>
        <v>2021</v>
      </c>
      <c r="D64" s="403">
        <f>D61</f>
        <v>2022</v>
      </c>
    </row>
    <row r="65" spans="1:4" ht="12.75" customHeight="1">
      <c r="A65" s="399" t="s">
        <v>546</v>
      </c>
      <c r="B65" s="404">
        <v>15450000</v>
      </c>
      <c r="C65" s="404">
        <v>13440000</v>
      </c>
      <c r="D65" s="365">
        <v>13960000</v>
      </c>
    </row>
    <row r="66" spans="2:3" ht="12.75" customHeight="1">
      <c r="B66" s="405"/>
      <c r="C66" s="406"/>
    </row>
    <row r="67" spans="1:4" ht="12.75" customHeight="1">
      <c r="A67" s="395" t="s">
        <v>548</v>
      </c>
      <c r="B67" s="362">
        <f>B64</f>
        <v>2020</v>
      </c>
      <c r="C67" s="407">
        <f>C64</f>
        <v>2021</v>
      </c>
      <c r="D67" s="408">
        <f>D64</f>
        <v>2022</v>
      </c>
    </row>
    <row r="68" spans="1:4" ht="12.75" customHeight="1">
      <c r="A68" s="409" t="s">
        <v>549</v>
      </c>
      <c r="B68" s="404">
        <v>3692036.96</v>
      </c>
      <c r="C68" s="404">
        <v>3923764.32</v>
      </c>
      <c r="D68" s="404">
        <v>3755609.86</v>
      </c>
    </row>
    <row r="69" spans="1:4" ht="12.75" customHeight="1">
      <c r="A69" s="410" t="s">
        <v>550</v>
      </c>
      <c r="B69" s="411"/>
      <c r="C69" s="412"/>
      <c r="D69" s="411"/>
    </row>
    <row r="70" spans="1:4" ht="12.75" customHeight="1">
      <c r="A70" s="251" t="s">
        <v>551</v>
      </c>
      <c r="B70" s="411"/>
      <c r="C70" s="412"/>
      <c r="D70" s="411"/>
    </row>
    <row r="71" spans="1:4" ht="12.75" customHeight="1">
      <c r="A71" s="413" t="s">
        <v>552</v>
      </c>
      <c r="B71" s="411"/>
      <c r="C71" s="365"/>
      <c r="D71" s="411"/>
    </row>
    <row r="72" spans="1:3" ht="12.75" customHeight="1">
      <c r="A72" s="414"/>
      <c r="B72" s="414"/>
      <c r="C72" s="414"/>
    </row>
    <row r="73" spans="1:4" ht="12.75" customHeight="1">
      <c r="A73" s="415" t="s">
        <v>553</v>
      </c>
      <c r="B73" s="416">
        <f>B67</f>
        <v>2020</v>
      </c>
      <c r="C73" s="416">
        <f>C67</f>
        <v>2021</v>
      </c>
      <c r="D73" s="416">
        <f>D67</f>
        <v>2022</v>
      </c>
    </row>
    <row r="74" spans="1:4" ht="12.75" customHeight="1">
      <c r="A74" s="417" t="s">
        <v>554</v>
      </c>
      <c r="B74" s="418"/>
      <c r="C74" s="419"/>
      <c r="D74" s="411">
        <v>689.73</v>
      </c>
    </row>
    <row r="75" spans="1:4" ht="12.75" customHeight="1">
      <c r="A75" s="420" t="s">
        <v>555</v>
      </c>
      <c r="B75" s="404">
        <v>87025783.59</v>
      </c>
      <c r="C75" s="404">
        <v>96706666.38</v>
      </c>
      <c r="D75" s="404">
        <v>110238597.19</v>
      </c>
    </row>
    <row r="76" spans="1:4" ht="12.75" customHeight="1">
      <c r="A76" s="421" t="s">
        <v>556</v>
      </c>
      <c r="B76" s="418"/>
      <c r="C76" s="419"/>
      <c r="D76" s="411"/>
    </row>
    <row r="77" spans="1:2" ht="9" customHeight="1">
      <c r="A77" s="422"/>
      <c r="B77" s="423"/>
    </row>
    <row r="78" spans="1:4" ht="11.25" customHeight="1">
      <c r="A78" s="409"/>
      <c r="B78" s="414"/>
      <c r="C78" s="424"/>
      <c r="D78" s="424"/>
    </row>
    <row r="79" spans="1:4" ht="11.25" customHeight="1">
      <c r="A79" s="395" t="s">
        <v>557</v>
      </c>
      <c r="B79" s="408">
        <f>B73</f>
        <v>2020</v>
      </c>
      <c r="C79" s="425">
        <f>C73</f>
        <v>2021</v>
      </c>
      <c r="D79" s="362">
        <f>D73</f>
        <v>2022</v>
      </c>
    </row>
    <row r="80" spans="1:4" ht="11.25" customHeight="1">
      <c r="A80" s="409" t="s">
        <v>558</v>
      </c>
      <c r="B80" s="426"/>
      <c r="C80" s="366">
        <v>14816.99</v>
      </c>
      <c r="D80" s="366">
        <v>48956.74</v>
      </c>
    </row>
    <row r="81" spans="1:4" ht="11.25" customHeight="1">
      <c r="A81" s="384" t="s">
        <v>559</v>
      </c>
      <c r="B81" s="427"/>
      <c r="C81" s="428"/>
      <c r="D81" s="429"/>
    </row>
    <row r="82" spans="1:4" ht="11.25" customHeight="1">
      <c r="A82" s="409"/>
      <c r="B82" s="414"/>
      <c r="C82" s="424"/>
      <c r="D82" s="424"/>
    </row>
    <row r="83" spans="1:4" ht="11.25" customHeight="1">
      <c r="A83" s="395" t="s">
        <v>560</v>
      </c>
      <c r="B83" s="408">
        <f>B79</f>
        <v>2020</v>
      </c>
      <c r="C83" s="425">
        <f>C79</f>
        <v>2021</v>
      </c>
      <c r="D83" s="362">
        <f>D79</f>
        <v>2022</v>
      </c>
    </row>
    <row r="84" spans="1:16" ht="11.25" customHeight="1">
      <c r="A84" s="401" t="s">
        <v>561</v>
      </c>
      <c r="B84" s="371">
        <v>112863.84</v>
      </c>
      <c r="C84" s="371">
        <v>95620.93</v>
      </c>
      <c r="D84" s="371">
        <v>35910</v>
      </c>
      <c r="H84" s="279"/>
      <c r="I84" s="279"/>
      <c r="J84" s="279"/>
      <c r="K84" s="279"/>
      <c r="L84" s="279"/>
      <c r="M84" s="279"/>
      <c r="N84" s="279"/>
      <c r="O84" s="279"/>
      <c r="P84" s="279"/>
    </row>
    <row r="85" spans="1:4" ht="11.25" customHeight="1">
      <c r="A85" s="409" t="s">
        <v>562</v>
      </c>
      <c r="B85" s="430"/>
      <c r="C85" s="431"/>
      <c r="D85" s="432"/>
    </row>
    <row r="86" spans="1:4" ht="11.25" customHeight="1">
      <c r="A86" s="384" t="s">
        <v>563</v>
      </c>
      <c r="B86" s="427"/>
      <c r="C86" s="428"/>
      <c r="D86" s="429"/>
    </row>
    <row r="87" spans="1:4" ht="11.25" customHeight="1">
      <c r="A87" s="409"/>
      <c r="B87" s="414"/>
      <c r="C87" s="424"/>
      <c r="D87" s="424"/>
    </row>
    <row r="88" spans="1:4" ht="11.25" customHeight="1">
      <c r="A88" s="433" t="s">
        <v>564</v>
      </c>
      <c r="B88" s="427"/>
      <c r="C88" s="428"/>
      <c r="D88" s="429"/>
    </row>
    <row r="89" spans="1:4" ht="11.25" customHeight="1">
      <c r="A89" s="409"/>
      <c r="B89" s="414"/>
      <c r="C89" s="424"/>
      <c r="D89" s="424"/>
    </row>
    <row r="90" spans="1:4" ht="19.5" customHeight="1">
      <c r="A90" s="625" t="s">
        <v>565</v>
      </c>
      <c r="B90" s="625"/>
      <c r="C90" s="625"/>
      <c r="D90" s="625"/>
    </row>
    <row r="92" spans="1:9" ht="25.5" customHeight="1">
      <c r="A92" s="626"/>
      <c r="B92" s="626"/>
      <c r="C92" s="626"/>
      <c r="D92" s="626"/>
      <c r="E92" s="434"/>
      <c r="F92" s="434"/>
      <c r="G92" s="434"/>
      <c r="H92" s="434"/>
      <c r="I92" s="434"/>
    </row>
    <row r="93" spans="1:9" ht="23.25" customHeight="1">
      <c r="A93" s="626"/>
      <c r="B93" s="626"/>
      <c r="C93" s="626"/>
      <c r="D93" s="626"/>
      <c r="E93" s="208"/>
      <c r="F93" s="208"/>
      <c r="G93" s="208"/>
      <c r="H93" s="208"/>
      <c r="I93" s="208"/>
    </row>
  </sheetData>
  <sheetProtection selectLockedCells="1" selectUnlockedCells="1"/>
  <mergeCells count="12">
    <mergeCell ref="A8:D8"/>
    <mergeCell ref="A9:D9"/>
    <mergeCell ref="B62:D62"/>
    <mergeCell ref="A90:D90"/>
    <mergeCell ref="A92:D92"/>
    <mergeCell ref="A93:D93"/>
    <mergeCell ref="A1:C1"/>
    <mergeCell ref="A2:C2"/>
    <mergeCell ref="A3:C3"/>
    <mergeCell ref="A4:C4"/>
    <mergeCell ref="A5:C5"/>
    <mergeCell ref="A7:C7"/>
  </mergeCells>
  <printOptions/>
  <pageMargins left="0.7875" right="0.7875" top="0.9840277777777777" bottom="0.9840277777777777" header="0.5118055555555555" footer="0.5118055555555555"/>
  <pageSetup fitToWidth="0" fitToHeight="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codeName="Plan17"/>
  <dimension ref="A1:G27"/>
  <sheetViews>
    <sheetView zoomScale="120" zoomScaleNormal="120" zoomScalePageLayoutView="0" workbookViewId="0" topLeftCell="A7">
      <selection activeCell="F20" sqref="F20"/>
    </sheetView>
  </sheetViews>
  <sheetFormatPr defaultColWidth="8.8515625" defaultRowHeight="12.75"/>
  <cols>
    <col min="1" max="1" width="22.140625" style="251" customWidth="1"/>
    <col min="2" max="2" width="15.421875" style="251" customWidth="1"/>
    <col min="3" max="3" width="20.421875" style="251" customWidth="1"/>
    <col min="4" max="6" width="12.57421875" style="251" customWidth="1"/>
    <col min="7" max="7" width="15.8515625" style="251" customWidth="1"/>
    <col min="8" max="16384" width="8.8515625" style="251" customWidth="1"/>
  </cols>
  <sheetData>
    <row r="1" spans="1:6" ht="12.75">
      <c r="A1" s="583" t="str">
        <f>Parâmetros!A7</f>
        <v>Município de Ivoti</v>
      </c>
      <c r="B1" s="583"/>
      <c r="C1" s="583"/>
      <c r="D1" s="583"/>
      <c r="E1" s="583"/>
      <c r="F1" s="583"/>
    </row>
    <row r="2" spans="1:6" ht="12.75">
      <c r="A2" s="584" t="s">
        <v>381</v>
      </c>
      <c r="B2" s="584"/>
      <c r="C2" s="584"/>
      <c r="D2" s="584"/>
      <c r="E2" s="584"/>
      <c r="F2" s="584"/>
    </row>
    <row r="3" spans="1:6" ht="12.75">
      <c r="A3" s="584" t="s">
        <v>382</v>
      </c>
      <c r="B3" s="584"/>
      <c r="C3" s="584"/>
      <c r="D3" s="584"/>
      <c r="E3" s="584"/>
      <c r="F3" s="584"/>
    </row>
    <row r="4" spans="1:6" ht="12.75">
      <c r="A4" s="585" t="s">
        <v>566</v>
      </c>
      <c r="B4" s="585"/>
      <c r="C4" s="585"/>
      <c r="D4" s="585"/>
      <c r="E4" s="585"/>
      <c r="F4" s="585"/>
    </row>
    <row r="5" spans="1:6" ht="12.75">
      <c r="A5" s="585" t="s">
        <v>489</v>
      </c>
      <c r="B5" s="585"/>
      <c r="C5" s="585"/>
      <c r="D5" s="585"/>
      <c r="E5" s="585"/>
      <c r="F5" s="585"/>
    </row>
    <row r="6" spans="1:6" ht="12.75">
      <c r="A6" s="584"/>
      <c r="B6" s="584"/>
      <c r="C6" s="584"/>
      <c r="D6" s="584"/>
      <c r="E6" s="584"/>
      <c r="F6" s="584"/>
    </row>
    <row r="7" spans="1:7" s="279" customFormat="1" ht="11.25" customHeight="1">
      <c r="A7" s="435" t="s">
        <v>567</v>
      </c>
      <c r="B7" s="436"/>
      <c r="C7" s="436"/>
      <c r="D7" s="436"/>
      <c r="E7" s="436"/>
      <c r="F7" s="437"/>
      <c r="G7" s="438">
        <v>1</v>
      </c>
    </row>
    <row r="8" spans="1:7" s="439" customFormat="1" ht="11.25" customHeight="1">
      <c r="A8" s="630" t="s">
        <v>568</v>
      </c>
      <c r="B8" s="631" t="s">
        <v>569</v>
      </c>
      <c r="C8" s="632" t="s">
        <v>570</v>
      </c>
      <c r="D8" s="632" t="s">
        <v>571</v>
      </c>
      <c r="E8" s="632"/>
      <c r="F8" s="632"/>
      <c r="G8" s="632" t="s">
        <v>572</v>
      </c>
    </row>
    <row r="9" spans="1:7" s="439" customFormat="1" ht="11.25" customHeight="1">
      <c r="A9" s="630"/>
      <c r="B9" s="631"/>
      <c r="C9" s="632"/>
      <c r="D9" s="632"/>
      <c r="E9" s="632"/>
      <c r="F9" s="632"/>
      <c r="G9" s="632"/>
    </row>
    <row r="10" spans="1:7" s="279" customFormat="1" ht="24" customHeight="1">
      <c r="A10" s="630"/>
      <c r="B10" s="631"/>
      <c r="C10" s="632"/>
      <c r="D10" s="440">
        <f>Parâmetros!E10</f>
        <v>2024</v>
      </c>
      <c r="E10" s="441">
        <f>D10+1</f>
        <v>2025</v>
      </c>
      <c r="F10" s="441">
        <f>E10+1</f>
        <v>2026</v>
      </c>
      <c r="G10" s="632"/>
    </row>
    <row r="11" spans="1:7" s="279" customFormat="1" ht="24.75" customHeight="1">
      <c r="A11" s="442" t="s">
        <v>573</v>
      </c>
      <c r="B11" s="442" t="s">
        <v>574</v>
      </c>
      <c r="C11" s="442" t="s">
        <v>575</v>
      </c>
      <c r="D11" s="443">
        <v>3800</v>
      </c>
      <c r="E11" s="444">
        <f>D11*(1+B25)</f>
        <v>3936.8</v>
      </c>
      <c r="F11" s="444">
        <f>E11*(1+B26)</f>
        <v>4074.5879999999997</v>
      </c>
      <c r="G11" s="633" t="s">
        <v>576</v>
      </c>
    </row>
    <row r="12" spans="1:7" s="279" customFormat="1" ht="25.5">
      <c r="A12" s="442" t="s">
        <v>573</v>
      </c>
      <c r="B12" s="442" t="s">
        <v>574</v>
      </c>
      <c r="C12" s="442" t="s">
        <v>577</v>
      </c>
      <c r="D12" s="443">
        <v>1650</v>
      </c>
      <c r="E12" s="444">
        <f>D12*(1+B25)</f>
        <v>1709.4</v>
      </c>
      <c r="F12" s="444">
        <f>E12*(1+B26)</f>
        <v>1769.229</v>
      </c>
      <c r="G12" s="633"/>
    </row>
    <row r="13" spans="1:7" s="279" customFormat="1" ht="45.75" customHeight="1">
      <c r="A13" s="442" t="s">
        <v>573</v>
      </c>
      <c r="B13" s="442" t="s">
        <v>574</v>
      </c>
      <c r="C13" s="442" t="s">
        <v>578</v>
      </c>
      <c r="D13" s="443">
        <v>3600</v>
      </c>
      <c r="E13" s="444">
        <f>D13*(1+B25)</f>
        <v>3729.6</v>
      </c>
      <c r="F13" s="444">
        <f>E13*(1+B26)</f>
        <v>3860.1359999999995</v>
      </c>
      <c r="G13" s="445" t="s">
        <v>579</v>
      </c>
    </row>
    <row r="14" spans="1:7" s="279" customFormat="1" ht="38.25">
      <c r="A14" s="442" t="s">
        <v>573</v>
      </c>
      <c r="B14" s="442" t="s">
        <v>574</v>
      </c>
      <c r="C14" s="446" t="s">
        <v>580</v>
      </c>
      <c r="D14" s="443">
        <v>27000</v>
      </c>
      <c r="E14" s="444">
        <f>D14*(1+B25)</f>
        <v>27972</v>
      </c>
      <c r="F14" s="444">
        <f>E14*(1+B26)</f>
        <v>28951.019999999997</v>
      </c>
      <c r="G14" s="445"/>
    </row>
    <row r="15" spans="1:7" s="279" customFormat="1" ht="76.5">
      <c r="A15" s="442" t="s">
        <v>573</v>
      </c>
      <c r="B15" s="442" t="s">
        <v>574</v>
      </c>
      <c r="C15" s="442" t="s">
        <v>581</v>
      </c>
      <c r="D15" s="443">
        <v>35000</v>
      </c>
      <c r="E15" s="444">
        <f>D15*(1+B25)</f>
        <v>36260</v>
      </c>
      <c r="F15" s="444">
        <f>E15*(1+B26)</f>
        <v>37529.1</v>
      </c>
      <c r="G15" s="445"/>
    </row>
    <row r="16" spans="1:7" s="279" customFormat="1" ht="38.25">
      <c r="A16" s="442" t="s">
        <v>573</v>
      </c>
      <c r="B16" s="442" t="s">
        <v>574</v>
      </c>
      <c r="C16" s="442" t="s">
        <v>582</v>
      </c>
      <c r="D16" s="443">
        <v>28000</v>
      </c>
      <c r="E16" s="444">
        <f>D16*(1+B25)</f>
        <v>29008</v>
      </c>
      <c r="F16" s="444">
        <f>E16*(1+B26)</f>
        <v>30023.28</v>
      </c>
      <c r="G16" s="445"/>
    </row>
    <row r="17" spans="1:7" s="279" customFormat="1" ht="89.25">
      <c r="A17" s="442" t="s">
        <v>583</v>
      </c>
      <c r="B17" s="442" t="s">
        <v>574</v>
      </c>
      <c r="C17" s="442" t="s">
        <v>584</v>
      </c>
      <c r="D17" s="443">
        <v>260000</v>
      </c>
      <c r="E17" s="444">
        <f>D17*(1+B25)</f>
        <v>269360</v>
      </c>
      <c r="F17" s="444">
        <f>E17*(1+B26)</f>
        <v>278787.6</v>
      </c>
      <c r="G17" s="445"/>
    </row>
    <row r="18" spans="1:7" s="279" customFormat="1" ht="51">
      <c r="A18" s="442" t="s">
        <v>585</v>
      </c>
      <c r="B18" s="442" t="s">
        <v>574</v>
      </c>
      <c r="C18" s="442" t="s">
        <v>586</v>
      </c>
      <c r="D18" s="443">
        <v>40000</v>
      </c>
      <c r="E18" s="444">
        <f>D18*(1+B25)</f>
        <v>41440</v>
      </c>
      <c r="F18" s="444">
        <f>E18*(1+B26)</f>
        <v>42890.399999999994</v>
      </c>
      <c r="G18" s="445"/>
    </row>
    <row r="19" spans="1:7" s="279" customFormat="1" ht="25.5">
      <c r="A19" s="442" t="s">
        <v>573</v>
      </c>
      <c r="B19" s="442" t="s">
        <v>574</v>
      </c>
      <c r="C19" s="446" t="s">
        <v>587</v>
      </c>
      <c r="D19" s="443">
        <v>3400</v>
      </c>
      <c r="E19" s="444">
        <f>D19*(1+B25)</f>
        <v>3522.4</v>
      </c>
      <c r="F19" s="444">
        <f>E19*(1+B26)</f>
        <v>3645.6839999999997</v>
      </c>
      <c r="G19" s="445"/>
    </row>
    <row r="20" spans="1:7" s="279" customFormat="1" ht="51">
      <c r="A20" s="442" t="s">
        <v>573</v>
      </c>
      <c r="B20" s="442" t="s">
        <v>588</v>
      </c>
      <c r="C20" s="442" t="s">
        <v>589</v>
      </c>
      <c r="D20" s="443">
        <v>168000</v>
      </c>
      <c r="E20" s="444">
        <f>D20*(1+B25)</f>
        <v>174048</v>
      </c>
      <c r="F20" s="444">
        <f>E20*(1+B26)</f>
        <v>180139.68</v>
      </c>
      <c r="G20" s="445"/>
    </row>
    <row r="21" spans="1:7" s="279" customFormat="1" ht="11.25" customHeight="1">
      <c r="A21" s="627" t="s">
        <v>482</v>
      </c>
      <c r="B21" s="627"/>
      <c r="C21" s="627"/>
      <c r="D21" s="331">
        <f>SUM(D11:D20)</f>
        <v>570450</v>
      </c>
      <c r="E21" s="326">
        <f>SUM(E11:E20)</f>
        <v>590986.2</v>
      </c>
      <c r="F21" s="326">
        <f>SUM(F11:F20)</f>
        <v>611670.717</v>
      </c>
      <c r="G21" s="447" t="s">
        <v>590</v>
      </c>
    </row>
    <row r="22" spans="1:7" s="279" customFormat="1" ht="18.75" customHeight="1">
      <c r="A22" s="628" t="s">
        <v>591</v>
      </c>
      <c r="B22" s="628"/>
      <c r="C22" s="628"/>
      <c r="D22" s="628"/>
      <c r="E22" s="628"/>
      <c r="F22" s="628"/>
      <c r="G22" s="628"/>
    </row>
    <row r="23" spans="1:7" s="279" customFormat="1" ht="21" customHeight="1">
      <c r="A23" s="629" t="s">
        <v>592</v>
      </c>
      <c r="B23" s="629"/>
      <c r="C23" s="629"/>
      <c r="D23" s="629"/>
      <c r="E23" s="629"/>
      <c r="F23" s="629"/>
      <c r="G23" s="629"/>
    </row>
    <row r="24" spans="1:7" s="279" customFormat="1" ht="24" customHeight="1">
      <c r="A24" s="629" t="s">
        <v>593</v>
      </c>
      <c r="B24" s="629"/>
      <c r="C24" s="629"/>
      <c r="D24" s="629"/>
      <c r="E24" s="629"/>
      <c r="F24" s="629"/>
      <c r="G24" s="629"/>
    </row>
    <row r="25" spans="1:2" ht="12.75">
      <c r="A25" s="449" t="s">
        <v>594</v>
      </c>
      <c r="B25" s="450">
        <f>Parâmetros!F11</f>
        <v>0.036</v>
      </c>
    </row>
    <row r="26" spans="1:2" ht="12.75">
      <c r="A26" s="449" t="s">
        <v>595</v>
      </c>
      <c r="B26" s="450">
        <f>Parâmetros!G11</f>
        <v>0.035</v>
      </c>
    </row>
    <row r="27" ht="12.75">
      <c r="B27" s="451"/>
    </row>
  </sheetData>
  <sheetProtection selectLockedCells="1" selectUnlockedCells="1"/>
  <mergeCells count="16">
    <mergeCell ref="A21:C21"/>
    <mergeCell ref="A22:G22"/>
    <mergeCell ref="A23:G23"/>
    <mergeCell ref="A24:G24"/>
    <mergeCell ref="A8:A10"/>
    <mergeCell ref="B8:B10"/>
    <mergeCell ref="C8:C10"/>
    <mergeCell ref="D8:F9"/>
    <mergeCell ref="G8:G10"/>
    <mergeCell ref="G11:G12"/>
    <mergeCell ref="A1:F1"/>
    <mergeCell ref="A2:F2"/>
    <mergeCell ref="A3:F3"/>
    <mergeCell ref="A4:F4"/>
    <mergeCell ref="A5:F5"/>
    <mergeCell ref="A6:F6"/>
  </mergeCells>
  <printOptions/>
  <pageMargins left="0.7875" right="0.7875" top="0.9840277777777777" bottom="0.9840277777777777" header="0.5118055555555555" footer="0.5118055555555555"/>
  <pageSetup horizontalDpi="300" verticalDpi="300" orientation="portrait"/>
  <drawing r:id="rId1"/>
</worksheet>
</file>

<file path=xl/worksheets/sheet15.xml><?xml version="1.0" encoding="utf-8"?>
<worksheet xmlns="http://schemas.openxmlformats.org/spreadsheetml/2006/main" xmlns:r="http://schemas.openxmlformats.org/officeDocument/2006/relationships">
  <sheetPr codeName="Plan18"/>
  <dimension ref="A1:B31"/>
  <sheetViews>
    <sheetView zoomScale="120" zoomScaleNormal="120" zoomScalePageLayoutView="0" workbookViewId="0" topLeftCell="A1">
      <selection activeCell="A24" sqref="A24"/>
    </sheetView>
  </sheetViews>
  <sheetFormatPr defaultColWidth="8.8515625" defaultRowHeight="12.75"/>
  <cols>
    <col min="1" max="1" width="55.28125" style="251" customWidth="1"/>
    <col min="2" max="2" width="20.57421875" style="251" customWidth="1"/>
    <col min="3" max="16384" width="8.8515625" style="251" customWidth="1"/>
  </cols>
  <sheetData>
    <row r="1" spans="1:2" ht="12.75">
      <c r="A1" s="607" t="str">
        <f>Parâmetros!A7</f>
        <v>Município de Ivoti</v>
      </c>
      <c r="B1" s="607"/>
    </row>
    <row r="2" spans="1:2" ht="12.75">
      <c r="A2" s="608" t="s">
        <v>381</v>
      </c>
      <c r="B2" s="608"/>
    </row>
    <row r="3" spans="1:2" ht="12.75">
      <c r="A3" s="608" t="s">
        <v>382</v>
      </c>
      <c r="B3" s="608"/>
    </row>
    <row r="4" spans="1:2" ht="12.75">
      <c r="A4" s="635" t="s">
        <v>596</v>
      </c>
      <c r="B4" s="635"/>
    </row>
    <row r="5" spans="1:2" ht="12.75">
      <c r="A5" s="608" t="s">
        <v>489</v>
      </c>
      <c r="B5" s="608"/>
    </row>
    <row r="6" spans="1:2" ht="12.75">
      <c r="A6" s="608"/>
      <c r="B6" s="608"/>
    </row>
    <row r="7" spans="1:2" ht="12.75">
      <c r="A7" s="307" t="s">
        <v>597</v>
      </c>
      <c r="B7" s="309">
        <v>1</v>
      </c>
    </row>
    <row r="8" spans="1:2" s="452" customFormat="1" ht="25.5" customHeight="1">
      <c r="A8" s="310" t="s">
        <v>598</v>
      </c>
      <c r="B8" s="253" t="s">
        <v>599</v>
      </c>
    </row>
    <row r="9" spans="1:2" ht="12.75">
      <c r="A9" s="453" t="s">
        <v>600</v>
      </c>
      <c r="B9" s="454">
        <f>(B10+B11)</f>
        <v>3771416.835381139</v>
      </c>
    </row>
    <row r="10" spans="1:2" ht="12.75">
      <c r="A10" s="455" t="s">
        <v>601</v>
      </c>
      <c r="B10" s="456">
        <f>(Projeções!H9/(1+Parâmetros!E11))-(Projeções!G9*(1+Parâmetros!D11))</f>
        <v>351755.1205130704</v>
      </c>
    </row>
    <row r="11" spans="1:2" ht="12.75">
      <c r="A11" s="455" t="s">
        <v>602</v>
      </c>
      <c r="B11" s="456">
        <f>(Projeções!H37/(1+Parâmetros!E11))-(Projeções!G37*(1+Parâmetros!D11))</f>
        <v>3419661.7148680687</v>
      </c>
    </row>
    <row r="12" spans="1:2" ht="12.75">
      <c r="A12" s="455" t="s">
        <v>603</v>
      </c>
      <c r="B12" s="456">
        <v>0</v>
      </c>
    </row>
    <row r="13" spans="1:2" ht="12.75">
      <c r="A13" s="457" t="s">
        <v>604</v>
      </c>
      <c r="B13" s="456">
        <f>(Projeções!H103/(1+Parâmetros!E11)-(Projeções!G103*(1+Parâmetros!D11)))</f>
        <v>-216550.595547257</v>
      </c>
    </row>
    <row r="14" spans="1:2" ht="12.75">
      <c r="A14" s="458" t="s">
        <v>605</v>
      </c>
      <c r="B14" s="459">
        <f>B9+B13</f>
        <v>3554866.239833882</v>
      </c>
    </row>
    <row r="15" spans="1:2" ht="12.75">
      <c r="A15" s="457" t="s">
        <v>606</v>
      </c>
      <c r="B15" s="460">
        <v>0</v>
      </c>
    </row>
    <row r="16" spans="1:2" ht="12.75">
      <c r="A16" s="457" t="s">
        <v>607</v>
      </c>
      <c r="B16" s="459">
        <f>B14+B15</f>
        <v>3554866.239833882</v>
      </c>
    </row>
    <row r="17" spans="1:2" ht="12.75">
      <c r="A17" s="455" t="s">
        <v>608</v>
      </c>
      <c r="B17" s="456"/>
    </row>
    <row r="18" spans="1:2" ht="12.75">
      <c r="A18" s="458" t="s">
        <v>609</v>
      </c>
      <c r="B18" s="459">
        <f>B19+B20</f>
        <v>3165717.446624644</v>
      </c>
    </row>
    <row r="19" spans="1:2" ht="12.75">
      <c r="A19" s="457" t="s">
        <v>610</v>
      </c>
      <c r="B19" s="456">
        <f>Projeções!H122/(1+Parâmetros!E11)-(Projeções!G122*(1+Parâmetros!D11))</f>
        <v>1143977.5435635448</v>
      </c>
    </row>
    <row r="20" spans="1:2" ht="12.75">
      <c r="A20" s="457" t="s">
        <v>611</v>
      </c>
      <c r="B20" s="456">
        <f>Projeções!H132/(1+Parâmetros!E11)-Projeções!G132*(1+Parâmetros!D11)</f>
        <v>2021739.9030610994</v>
      </c>
    </row>
    <row r="21" spans="1:2" ht="12.75">
      <c r="A21" s="458" t="s">
        <v>612</v>
      </c>
      <c r="B21" s="456">
        <v>0</v>
      </c>
    </row>
    <row r="22" spans="1:2" ht="21" customHeight="1">
      <c r="A22" s="458" t="s">
        <v>613</v>
      </c>
      <c r="B22" s="461">
        <f>IF(B16-B17-B18&lt;0,"SEM MARGEM",B16-B17-B18)</f>
        <v>389148.793209238</v>
      </c>
    </row>
    <row r="23" spans="1:2" ht="12.75">
      <c r="A23" s="634" t="s">
        <v>614</v>
      </c>
      <c r="B23" s="634"/>
    </row>
    <row r="24" ht="12.75">
      <c r="A24" s="462"/>
    </row>
    <row r="25" spans="1:2" ht="12.75">
      <c r="A25" s="359"/>
      <c r="B25" s="359"/>
    </row>
    <row r="26" ht="12.75">
      <c r="A26" s="359"/>
    </row>
    <row r="27" ht="12.75">
      <c r="A27" s="359"/>
    </row>
    <row r="28" ht="12.75">
      <c r="A28" s="359"/>
    </row>
    <row r="29" ht="12.75">
      <c r="A29" s="359"/>
    </row>
    <row r="30" ht="12.75">
      <c r="A30" s="359"/>
    </row>
    <row r="31" ht="12.75">
      <c r="A31" s="359"/>
    </row>
  </sheetData>
  <sheetProtection selectLockedCells="1" selectUnlockedCells="1"/>
  <mergeCells count="7">
    <mergeCell ref="A23:B23"/>
    <mergeCell ref="A1:B1"/>
    <mergeCell ref="A2:B2"/>
    <mergeCell ref="A3:B3"/>
    <mergeCell ref="A4:B4"/>
    <mergeCell ref="A5:B5"/>
    <mergeCell ref="A6:B6"/>
  </mergeCells>
  <printOptions/>
  <pageMargins left="0.7875" right="0.7875" top="0.9840277777777777" bottom="0.9840277777777777" header="0.5118055555555555" footer="0.5118055555555555"/>
  <pageSetup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dimension ref="A1:D25"/>
  <sheetViews>
    <sheetView zoomScale="120" zoomScaleNormal="120" zoomScalePageLayoutView="0" workbookViewId="0" topLeftCell="A1">
      <selection activeCell="B25" sqref="B25"/>
    </sheetView>
  </sheetViews>
  <sheetFormatPr defaultColWidth="8.8515625" defaultRowHeight="12.75"/>
  <cols>
    <col min="1" max="1" width="38.57421875" style="251" customWidth="1"/>
    <col min="2" max="2" width="15.421875" style="251" customWidth="1"/>
    <col min="3" max="3" width="36.57421875" style="251" customWidth="1"/>
    <col min="4" max="4" width="15.421875" style="251" customWidth="1"/>
    <col min="5" max="16384" width="8.8515625" style="251" customWidth="1"/>
  </cols>
  <sheetData>
    <row r="1" spans="1:4" ht="12.75">
      <c r="A1" s="636" t="str">
        <f>Parâmetros!A7</f>
        <v>Município de Ivoti</v>
      </c>
      <c r="B1" s="636"/>
      <c r="C1" s="636"/>
      <c r="D1" s="636"/>
    </row>
    <row r="2" spans="1:4" ht="12.75" customHeight="1">
      <c r="A2" s="637" t="s">
        <v>381</v>
      </c>
      <c r="B2" s="637"/>
      <c r="C2" s="637"/>
      <c r="D2" s="637"/>
    </row>
    <row r="3" spans="1:4" ht="12.75" customHeight="1">
      <c r="A3" s="637" t="s">
        <v>615</v>
      </c>
      <c r="B3" s="637"/>
      <c r="C3" s="637"/>
      <c r="D3" s="637"/>
    </row>
    <row r="4" spans="1:4" ht="12.75" customHeight="1">
      <c r="A4" s="638" t="s">
        <v>616</v>
      </c>
      <c r="B4" s="638"/>
      <c r="C4" s="638"/>
      <c r="D4" s="638"/>
    </row>
    <row r="5" spans="1:4" ht="12.75" customHeight="1">
      <c r="A5" s="638" t="s">
        <v>489</v>
      </c>
      <c r="B5" s="638"/>
      <c r="C5" s="638"/>
      <c r="D5" s="638"/>
    </row>
    <row r="6" spans="1:4" ht="12.75">
      <c r="A6" s="639"/>
      <c r="B6" s="639"/>
      <c r="C6" s="639"/>
      <c r="D6" s="639"/>
    </row>
    <row r="7" spans="1:4" ht="12.75" customHeight="1">
      <c r="A7" s="640" t="s">
        <v>617</v>
      </c>
      <c r="B7" s="640"/>
      <c r="C7" s="641">
        <v>1</v>
      </c>
      <c r="D7" s="641"/>
    </row>
    <row r="8" spans="1:4" ht="12.75" customHeight="1">
      <c r="A8" s="642" t="s">
        <v>618</v>
      </c>
      <c r="B8" s="642"/>
      <c r="C8" s="642" t="s">
        <v>619</v>
      </c>
      <c r="D8" s="642"/>
    </row>
    <row r="9" spans="1:4" ht="12.75">
      <c r="A9" s="254" t="s">
        <v>223</v>
      </c>
      <c r="B9" s="254" t="s">
        <v>385</v>
      </c>
      <c r="C9" s="254" t="s">
        <v>223</v>
      </c>
      <c r="D9" s="254" t="s">
        <v>385</v>
      </c>
    </row>
    <row r="10" spans="1:4" ht="12.75">
      <c r="A10" s="448" t="s">
        <v>620</v>
      </c>
      <c r="B10" s="463" t="s">
        <v>621</v>
      </c>
      <c r="C10" s="464"/>
      <c r="D10" s="463"/>
    </row>
    <row r="11" spans="1:4" ht="12.75">
      <c r="A11" s="448" t="s">
        <v>622</v>
      </c>
      <c r="B11" s="463" t="s">
        <v>621</v>
      </c>
      <c r="C11" s="464"/>
      <c r="D11" s="463"/>
    </row>
    <row r="12" spans="1:4" ht="38.25">
      <c r="A12" s="448" t="s">
        <v>623</v>
      </c>
      <c r="B12" s="463">
        <v>300000</v>
      </c>
      <c r="C12" s="465" t="s">
        <v>624</v>
      </c>
      <c r="D12" s="463">
        <v>300000</v>
      </c>
    </row>
    <row r="13" spans="1:4" ht="12.75">
      <c r="A13" s="448" t="s">
        <v>625</v>
      </c>
      <c r="B13" s="463"/>
      <c r="C13" s="464"/>
      <c r="D13" s="463"/>
    </row>
    <row r="14" spans="1:4" ht="12.75">
      <c r="A14" s="448" t="s">
        <v>626</v>
      </c>
      <c r="B14" s="463"/>
      <c r="C14" s="464"/>
      <c r="D14" s="463"/>
    </row>
    <row r="15" spans="1:4" ht="12.75">
      <c r="A15" s="448" t="s">
        <v>627</v>
      </c>
      <c r="B15" s="463"/>
      <c r="C15" s="464"/>
      <c r="D15" s="463"/>
    </row>
    <row r="16" spans="1:4" ht="12.75">
      <c r="A16" s="466" t="s">
        <v>628</v>
      </c>
      <c r="B16" s="467">
        <f>SUM(B10:B15)</f>
        <v>300000</v>
      </c>
      <c r="C16" s="468" t="s">
        <v>628</v>
      </c>
      <c r="D16" s="469">
        <f>SUM(D10:D15)</f>
        <v>300000</v>
      </c>
    </row>
    <row r="17" spans="1:4" ht="14.25" customHeight="1">
      <c r="A17" s="643" t="s">
        <v>629</v>
      </c>
      <c r="B17" s="643"/>
      <c r="C17" s="643"/>
      <c r="D17" s="643"/>
    </row>
    <row r="18" spans="1:4" ht="12.75" customHeight="1">
      <c r="A18" s="644" t="s">
        <v>630</v>
      </c>
      <c r="B18" s="644"/>
      <c r="C18" s="642" t="s">
        <v>619</v>
      </c>
      <c r="D18" s="642"/>
    </row>
    <row r="19" spans="1:4" ht="12.75">
      <c r="A19" s="254" t="s">
        <v>223</v>
      </c>
      <c r="B19" s="254" t="s">
        <v>385</v>
      </c>
      <c r="C19" s="254" t="s">
        <v>223</v>
      </c>
      <c r="D19" s="254" t="s">
        <v>385</v>
      </c>
    </row>
    <row r="20" spans="1:4" ht="25.5">
      <c r="A20" s="448" t="s">
        <v>631</v>
      </c>
      <c r="B20" s="463">
        <v>400000</v>
      </c>
      <c r="C20" s="470" t="s">
        <v>632</v>
      </c>
      <c r="D20" s="463">
        <v>400000</v>
      </c>
    </row>
    <row r="21" spans="1:4" ht="12.75">
      <c r="A21" s="448" t="s">
        <v>633</v>
      </c>
      <c r="B21" s="463"/>
      <c r="C21" s="464"/>
      <c r="D21" s="463"/>
    </row>
    <row r="22" spans="1:4" ht="25.5">
      <c r="A22" s="448" t="s">
        <v>634</v>
      </c>
      <c r="B22" s="463">
        <v>400000</v>
      </c>
      <c r="C22" s="470" t="s">
        <v>632</v>
      </c>
      <c r="D22" s="463">
        <v>400000</v>
      </c>
    </row>
    <row r="23" spans="1:4" ht="12.75">
      <c r="A23" s="448" t="s">
        <v>635</v>
      </c>
      <c r="B23" s="463"/>
      <c r="C23" s="464"/>
      <c r="D23" s="463"/>
    </row>
    <row r="24" spans="1:4" ht="12.75">
      <c r="A24" s="448" t="s">
        <v>628</v>
      </c>
      <c r="B24" s="463">
        <f>B20+B22</f>
        <v>800000</v>
      </c>
      <c r="C24" s="448" t="s">
        <v>628</v>
      </c>
      <c r="D24" s="463">
        <f>SUM(D20:D23)</f>
        <v>800000</v>
      </c>
    </row>
    <row r="25" spans="1:4" ht="12.75">
      <c r="A25" s="468" t="s">
        <v>482</v>
      </c>
      <c r="B25" s="469">
        <f>B16+B24</f>
        <v>1100000</v>
      </c>
      <c r="C25" s="468" t="s">
        <v>482</v>
      </c>
      <c r="D25" s="469">
        <f>D16+D24</f>
        <v>1100000</v>
      </c>
    </row>
  </sheetData>
  <sheetProtection selectLockedCells="1" selectUnlockedCells="1"/>
  <mergeCells count="13">
    <mergeCell ref="A7:B7"/>
    <mergeCell ref="C7:D7"/>
    <mergeCell ref="A8:B8"/>
    <mergeCell ref="C8:D8"/>
    <mergeCell ref="A17:D17"/>
    <mergeCell ref="A18:B18"/>
    <mergeCell ref="C18:D18"/>
    <mergeCell ref="A1:D1"/>
    <mergeCell ref="A2:D2"/>
    <mergeCell ref="A3:D3"/>
    <mergeCell ref="A4:D4"/>
    <mergeCell ref="A5:D5"/>
    <mergeCell ref="A6:D6"/>
  </mergeCells>
  <printOptions/>
  <pageMargins left="0.7875" right="0.7875" top="0.9840277777777777" bottom="0.9840277777777777" header="0.5118055555555555" footer="0.5118055555555555"/>
  <pageSetup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dimension ref="A1:E89"/>
  <sheetViews>
    <sheetView zoomScale="120" zoomScaleNormal="120" zoomScalePageLayoutView="0" workbookViewId="0" topLeftCell="A1">
      <selection activeCell="E9" sqref="E9"/>
    </sheetView>
  </sheetViews>
  <sheetFormatPr defaultColWidth="9.140625" defaultRowHeight="12.75"/>
  <cols>
    <col min="2" max="2" width="58.00390625" style="0" customWidth="1"/>
    <col min="3" max="3" width="20.00390625" style="0" customWidth="1"/>
    <col min="5" max="5" width="15.00390625" style="0" customWidth="1"/>
  </cols>
  <sheetData>
    <row r="1" spans="1:3" ht="12.75">
      <c r="A1" s="645" t="s">
        <v>636</v>
      </c>
      <c r="B1" s="645"/>
      <c r="C1" s="645"/>
    </row>
    <row r="2" spans="1:3" ht="13.5" thickBot="1">
      <c r="A2" s="646" t="s">
        <v>637</v>
      </c>
      <c r="B2" s="646"/>
      <c r="C2" s="646"/>
    </row>
    <row r="3" spans="1:3" ht="12.75" customHeight="1" thickBot="1">
      <c r="A3" s="647" t="s">
        <v>638</v>
      </c>
      <c r="B3" s="524" t="s">
        <v>639</v>
      </c>
      <c r="C3" s="528">
        <v>2024</v>
      </c>
    </row>
    <row r="4" spans="1:3" ht="13.5" thickBot="1">
      <c r="A4" s="647"/>
      <c r="B4" s="525"/>
      <c r="C4" s="529" t="s">
        <v>640</v>
      </c>
    </row>
    <row r="5" spans="1:3" ht="13.5" thickBot="1">
      <c r="A5" s="647"/>
      <c r="B5" s="526" t="s">
        <v>641</v>
      </c>
      <c r="C5" s="530"/>
    </row>
    <row r="6" spans="1:5" ht="12.75">
      <c r="A6" s="471" t="s">
        <v>642</v>
      </c>
      <c r="B6" s="472" t="s">
        <v>643</v>
      </c>
      <c r="C6" s="527">
        <v>1000000</v>
      </c>
      <c r="E6" s="474"/>
    </row>
    <row r="7" spans="1:3" ht="12.75">
      <c r="A7" s="471" t="s">
        <v>642</v>
      </c>
      <c r="B7" s="475" t="s">
        <v>644</v>
      </c>
      <c r="C7" s="473">
        <v>1000000</v>
      </c>
    </row>
    <row r="8" spans="1:3" ht="12.75">
      <c r="A8" s="471" t="s">
        <v>642</v>
      </c>
      <c r="B8" s="475" t="s">
        <v>645</v>
      </c>
      <c r="C8" s="473">
        <v>10000</v>
      </c>
    </row>
    <row r="9" spans="1:3" ht="12.75">
      <c r="A9" s="471" t="s">
        <v>642</v>
      </c>
      <c r="B9" s="475" t="s">
        <v>646</v>
      </c>
      <c r="C9" s="473">
        <v>440000</v>
      </c>
    </row>
    <row r="10" spans="1:5" ht="12.75">
      <c r="A10" s="471" t="s">
        <v>647</v>
      </c>
      <c r="B10" s="475" t="s">
        <v>648</v>
      </c>
      <c r="C10" s="473">
        <v>10000</v>
      </c>
      <c r="E10" s="474"/>
    </row>
    <row r="11" spans="1:3" ht="12.75">
      <c r="A11" s="471" t="s">
        <v>642</v>
      </c>
      <c r="B11" s="475" t="s">
        <v>649</v>
      </c>
      <c r="C11" s="473">
        <v>2730000</v>
      </c>
    </row>
    <row r="12" spans="1:3" ht="12.75">
      <c r="A12" s="471" t="s">
        <v>647</v>
      </c>
      <c r="B12" s="475" t="s">
        <v>650</v>
      </c>
      <c r="C12" s="473">
        <v>10000</v>
      </c>
    </row>
    <row r="13" spans="1:3" ht="12.75">
      <c r="A13" s="471" t="s">
        <v>647</v>
      </c>
      <c r="B13" s="475" t="s">
        <v>651</v>
      </c>
      <c r="C13" s="473">
        <v>10000</v>
      </c>
    </row>
    <row r="14" spans="1:3" ht="12.75">
      <c r="A14" s="471" t="s">
        <v>647</v>
      </c>
      <c r="B14" s="475" t="s">
        <v>652</v>
      </c>
      <c r="C14" s="473">
        <v>100000</v>
      </c>
    </row>
    <row r="15" spans="1:3" ht="12.75">
      <c r="A15" s="471" t="s">
        <v>647</v>
      </c>
      <c r="B15" s="475" t="s">
        <v>653</v>
      </c>
      <c r="C15" s="473">
        <v>590000</v>
      </c>
    </row>
    <row r="16" spans="1:3" ht="12.75">
      <c r="A16" s="471" t="s">
        <v>647</v>
      </c>
      <c r="B16" s="475" t="s">
        <v>654</v>
      </c>
      <c r="C16" s="473">
        <v>750000</v>
      </c>
    </row>
    <row r="17" spans="1:3" ht="12.75">
      <c r="A17" s="471" t="s">
        <v>647</v>
      </c>
      <c r="B17" s="475" t="s">
        <v>655</v>
      </c>
      <c r="C17" s="473">
        <v>300000</v>
      </c>
    </row>
    <row r="18" spans="1:5" ht="12.75">
      <c r="A18" s="471" t="s">
        <v>642</v>
      </c>
      <c r="B18" s="475" t="s">
        <v>656</v>
      </c>
      <c r="C18" s="473">
        <v>10000</v>
      </c>
      <c r="E18" s="474"/>
    </row>
    <row r="19" spans="1:3" ht="12.75">
      <c r="A19" s="471" t="s">
        <v>642</v>
      </c>
      <c r="B19" s="475" t="s">
        <v>657</v>
      </c>
      <c r="C19" s="473">
        <v>870000</v>
      </c>
    </row>
    <row r="20" spans="1:3" ht="12.75">
      <c r="A20" s="471" t="s">
        <v>642</v>
      </c>
      <c r="B20" s="475" t="s">
        <v>658</v>
      </c>
      <c r="C20" s="473">
        <v>550000</v>
      </c>
    </row>
    <row r="21" spans="1:5" ht="12.75">
      <c r="A21" s="471" t="s">
        <v>642</v>
      </c>
      <c r="B21" s="475" t="s">
        <v>659</v>
      </c>
      <c r="C21" s="473">
        <v>800000</v>
      </c>
      <c r="E21" s="474"/>
    </row>
    <row r="22" spans="1:3" ht="12.75">
      <c r="A22" s="471" t="s">
        <v>642</v>
      </c>
      <c r="B22" s="475" t="s">
        <v>660</v>
      </c>
      <c r="C22" s="473">
        <v>1930000</v>
      </c>
    </row>
    <row r="23" spans="1:3" ht="12.75">
      <c r="A23" s="471" t="s">
        <v>642</v>
      </c>
      <c r="B23" s="476" t="s">
        <v>661</v>
      </c>
      <c r="C23" s="473">
        <v>320000</v>
      </c>
    </row>
    <row r="24" spans="1:3" ht="12.75">
      <c r="A24" s="471" t="s">
        <v>642</v>
      </c>
      <c r="B24" s="475" t="s">
        <v>662</v>
      </c>
      <c r="C24" s="473">
        <v>60000</v>
      </c>
    </row>
    <row r="25" spans="1:3" ht="12.75">
      <c r="A25" s="471" t="s">
        <v>642</v>
      </c>
      <c r="B25" s="476" t="s">
        <v>663</v>
      </c>
      <c r="C25" s="473">
        <v>120000</v>
      </c>
    </row>
    <row r="26" spans="1:3" ht="12.75">
      <c r="A26" s="471" t="s">
        <v>642</v>
      </c>
      <c r="B26" s="475" t="s">
        <v>664</v>
      </c>
      <c r="C26" s="473">
        <v>10000</v>
      </c>
    </row>
    <row r="27" spans="1:3" ht="12.75">
      <c r="A27" s="471" t="s">
        <v>642</v>
      </c>
      <c r="B27" s="475" t="s">
        <v>665</v>
      </c>
      <c r="C27" s="473">
        <v>550000</v>
      </c>
    </row>
    <row r="28" spans="1:3" ht="12.75">
      <c r="A28" s="471" t="s">
        <v>642</v>
      </c>
      <c r="B28" s="475" t="s">
        <v>666</v>
      </c>
      <c r="C28" s="473">
        <v>5000000</v>
      </c>
    </row>
    <row r="29" spans="1:3" ht="12.75">
      <c r="A29" s="471" t="s">
        <v>642</v>
      </c>
      <c r="B29" s="475" t="s">
        <v>667</v>
      </c>
      <c r="C29" s="473">
        <v>6880000</v>
      </c>
    </row>
    <row r="30" spans="1:3" ht="12.75">
      <c r="A30" s="471" t="s">
        <v>642</v>
      </c>
      <c r="B30" s="475" t="s">
        <v>668</v>
      </c>
      <c r="C30" s="473">
        <v>370000</v>
      </c>
    </row>
    <row r="31" spans="1:3" ht="12.75">
      <c r="A31" s="471" t="s">
        <v>642</v>
      </c>
      <c r="B31" s="475" t="s">
        <v>669</v>
      </c>
      <c r="C31" s="473">
        <v>2500000</v>
      </c>
    </row>
    <row r="32" spans="1:3" ht="12.75">
      <c r="A32" s="471" t="s">
        <v>642</v>
      </c>
      <c r="B32" s="475" t="s">
        <v>670</v>
      </c>
      <c r="C32" s="473">
        <v>720000</v>
      </c>
    </row>
    <row r="33" spans="1:3" ht="12.75">
      <c r="A33" s="471" t="s">
        <v>642</v>
      </c>
      <c r="B33" s="475" t="s">
        <v>671</v>
      </c>
      <c r="C33" s="473">
        <v>3500000</v>
      </c>
    </row>
    <row r="34" spans="1:3" ht="12.75">
      <c r="A34" s="471" t="s">
        <v>642</v>
      </c>
      <c r="B34" s="475" t="s">
        <v>672</v>
      </c>
      <c r="C34" s="473">
        <v>11450000</v>
      </c>
    </row>
    <row r="35" spans="1:3" ht="12.75">
      <c r="A35" s="477" t="s">
        <v>642</v>
      </c>
      <c r="B35" s="475" t="s">
        <v>673</v>
      </c>
      <c r="C35" s="473">
        <v>700000</v>
      </c>
    </row>
    <row r="36" spans="1:3" ht="12.75">
      <c r="A36" s="471" t="s">
        <v>642</v>
      </c>
      <c r="B36" s="475" t="s">
        <v>674</v>
      </c>
      <c r="C36" s="473">
        <v>760000</v>
      </c>
    </row>
    <row r="37" spans="1:3" ht="12.75">
      <c r="A37" s="471" t="s">
        <v>642</v>
      </c>
      <c r="B37" s="475" t="s">
        <v>675</v>
      </c>
      <c r="C37" s="473">
        <v>670000</v>
      </c>
    </row>
    <row r="38" spans="1:3" ht="12.75">
      <c r="A38" s="471"/>
      <c r="B38" s="476" t="s">
        <v>676</v>
      </c>
      <c r="C38" s="473">
        <v>130000</v>
      </c>
    </row>
    <row r="39" spans="1:3" ht="12.75">
      <c r="A39" s="471" t="s">
        <v>642</v>
      </c>
      <c r="B39" s="475" t="s">
        <v>677</v>
      </c>
      <c r="C39" s="473">
        <v>540000</v>
      </c>
    </row>
    <row r="40" spans="1:5" ht="12.75">
      <c r="A40" s="471" t="s">
        <v>642</v>
      </c>
      <c r="B40" s="475" t="s">
        <v>678</v>
      </c>
      <c r="C40" s="473">
        <v>1400000</v>
      </c>
      <c r="E40" s="474"/>
    </row>
    <row r="41" spans="1:3" ht="12.75">
      <c r="A41" s="471" t="s">
        <v>642</v>
      </c>
      <c r="B41" s="475" t="s">
        <v>679</v>
      </c>
      <c r="C41" s="473">
        <v>4900000</v>
      </c>
    </row>
    <row r="42" spans="1:3" ht="12.75">
      <c r="A42" s="471" t="s">
        <v>642</v>
      </c>
      <c r="B42" s="475" t="s">
        <v>680</v>
      </c>
      <c r="C42" s="473">
        <v>2000000</v>
      </c>
    </row>
    <row r="43" spans="1:3" ht="12.75">
      <c r="A43" s="471" t="s">
        <v>642</v>
      </c>
      <c r="B43" s="475" t="s">
        <v>681</v>
      </c>
      <c r="C43" s="473">
        <v>800000</v>
      </c>
    </row>
    <row r="44" spans="1:3" ht="12.75">
      <c r="A44" s="471" t="s">
        <v>642</v>
      </c>
      <c r="B44" s="475" t="s">
        <v>682</v>
      </c>
      <c r="C44" s="473">
        <v>1000000</v>
      </c>
    </row>
    <row r="45" spans="1:3" ht="12.75">
      <c r="A45" s="471" t="s">
        <v>642</v>
      </c>
      <c r="B45" s="475" t="s">
        <v>683</v>
      </c>
      <c r="C45" s="473">
        <v>150000</v>
      </c>
    </row>
    <row r="46" spans="1:3" ht="12.75">
      <c r="A46" s="471" t="s">
        <v>642</v>
      </c>
      <c r="B46" s="475" t="s">
        <v>684</v>
      </c>
      <c r="C46" s="473">
        <v>250000</v>
      </c>
    </row>
    <row r="47" spans="1:5" ht="12.75">
      <c r="A47" s="478" t="s">
        <v>647</v>
      </c>
      <c r="B47" s="475" t="s">
        <v>685</v>
      </c>
      <c r="C47" s="473">
        <v>100000</v>
      </c>
      <c r="E47" s="474"/>
    </row>
    <row r="48" spans="1:3" ht="12.75">
      <c r="A48" s="471" t="s">
        <v>642</v>
      </c>
      <c r="B48" s="475" t="s">
        <v>686</v>
      </c>
      <c r="C48" s="473">
        <v>860000</v>
      </c>
    </row>
    <row r="49" spans="1:3" ht="12.75">
      <c r="A49" s="471" t="s">
        <v>642</v>
      </c>
      <c r="B49" s="475" t="s">
        <v>687</v>
      </c>
      <c r="C49" s="473">
        <v>35000</v>
      </c>
    </row>
    <row r="50" spans="1:3" ht="12.75">
      <c r="A50" s="471" t="s">
        <v>642</v>
      </c>
      <c r="B50" s="475" t="s">
        <v>688</v>
      </c>
      <c r="C50" s="473">
        <v>40000</v>
      </c>
    </row>
    <row r="51" spans="1:3" ht="12.75">
      <c r="A51" s="471" t="s">
        <v>642</v>
      </c>
      <c r="B51" s="475" t="s">
        <v>689</v>
      </c>
      <c r="C51" s="473">
        <v>1800000</v>
      </c>
    </row>
    <row r="52" spans="1:3" ht="12.75">
      <c r="A52" s="471" t="s">
        <v>642</v>
      </c>
      <c r="B52" s="475" t="s">
        <v>690</v>
      </c>
      <c r="C52" s="473">
        <v>40000</v>
      </c>
    </row>
    <row r="53" spans="1:3" ht="12.75">
      <c r="A53" s="471" t="s">
        <v>642</v>
      </c>
      <c r="B53" s="475" t="s">
        <v>691</v>
      </c>
      <c r="C53" s="473">
        <v>74000</v>
      </c>
    </row>
    <row r="54" spans="1:3" ht="12.75">
      <c r="A54" s="471" t="s">
        <v>642</v>
      </c>
      <c r="B54" s="475" t="s">
        <v>692</v>
      </c>
      <c r="C54" s="473">
        <v>25000</v>
      </c>
    </row>
    <row r="55" spans="1:3" ht="12.75">
      <c r="A55" s="471" t="s">
        <v>642</v>
      </c>
      <c r="B55" s="475" t="s">
        <v>693</v>
      </c>
      <c r="C55" s="473">
        <v>120000</v>
      </c>
    </row>
    <row r="56" spans="1:5" ht="12.75">
      <c r="A56" s="471" t="s">
        <v>647</v>
      </c>
      <c r="B56" s="475" t="s">
        <v>694</v>
      </c>
      <c r="C56" s="473">
        <v>1000</v>
      </c>
      <c r="E56" s="474"/>
    </row>
    <row r="57" spans="1:3" ht="12.75">
      <c r="A57" s="471" t="s">
        <v>642</v>
      </c>
      <c r="B57" s="475" t="s">
        <v>695</v>
      </c>
      <c r="C57" s="473">
        <v>860000</v>
      </c>
    </row>
    <row r="58" spans="1:3" ht="12.75">
      <c r="A58" s="477" t="s">
        <v>642</v>
      </c>
      <c r="B58" s="475" t="s">
        <v>696</v>
      </c>
      <c r="C58" s="473">
        <v>480000</v>
      </c>
    </row>
    <row r="59" spans="1:3" ht="12.75">
      <c r="A59" s="471" t="s">
        <v>642</v>
      </c>
      <c r="B59" s="475" t="s">
        <v>697</v>
      </c>
      <c r="C59" s="473">
        <v>50000</v>
      </c>
    </row>
    <row r="60" spans="1:5" ht="12.75">
      <c r="A60" s="471" t="s">
        <v>698</v>
      </c>
      <c r="B60" s="475" t="s">
        <v>699</v>
      </c>
      <c r="C60" s="473">
        <v>4300000</v>
      </c>
      <c r="E60" s="474"/>
    </row>
    <row r="61" spans="1:3" ht="12.75">
      <c r="A61" s="471" t="s">
        <v>642</v>
      </c>
      <c r="B61" s="475" t="s">
        <v>700</v>
      </c>
      <c r="C61" s="473">
        <v>9200000</v>
      </c>
    </row>
    <row r="62" spans="1:3" ht="12.75">
      <c r="A62" s="471" t="s">
        <v>642</v>
      </c>
      <c r="B62" s="475" t="s">
        <v>701</v>
      </c>
      <c r="C62" s="473">
        <v>170000</v>
      </c>
    </row>
    <row r="63" spans="1:3" ht="12.75">
      <c r="A63" s="471" t="s">
        <v>642</v>
      </c>
      <c r="B63" s="475" t="s">
        <v>702</v>
      </c>
      <c r="C63" s="473">
        <v>2400000</v>
      </c>
    </row>
    <row r="64" spans="1:3" ht="12.75">
      <c r="A64" s="471" t="s">
        <v>642</v>
      </c>
      <c r="B64" s="475" t="s">
        <v>703</v>
      </c>
      <c r="C64" s="473">
        <v>150000</v>
      </c>
    </row>
    <row r="65" spans="1:3" ht="12.75">
      <c r="A65" s="471" t="s">
        <v>642</v>
      </c>
      <c r="B65" s="475" t="s">
        <v>704</v>
      </c>
      <c r="C65" s="473">
        <v>3300000</v>
      </c>
    </row>
    <row r="66" spans="1:3" ht="12.75">
      <c r="A66" s="471" t="s">
        <v>642</v>
      </c>
      <c r="B66" s="475" t="s">
        <v>705</v>
      </c>
      <c r="C66" s="473">
        <v>900000</v>
      </c>
    </row>
    <row r="67" spans="1:3" ht="12.75">
      <c r="A67" s="471" t="s">
        <v>642</v>
      </c>
      <c r="B67" s="475" t="s">
        <v>706</v>
      </c>
      <c r="C67" s="473">
        <v>113000</v>
      </c>
    </row>
    <row r="68" spans="1:3" ht="12.75">
      <c r="A68" s="471" t="s">
        <v>642</v>
      </c>
      <c r="B68" s="475" t="s">
        <v>707</v>
      </c>
      <c r="C68" s="473">
        <v>43000</v>
      </c>
    </row>
    <row r="69" spans="1:3" ht="12.75">
      <c r="A69" s="477" t="s">
        <v>642</v>
      </c>
      <c r="B69" s="475" t="s">
        <v>708</v>
      </c>
      <c r="C69" s="473">
        <v>330000</v>
      </c>
    </row>
    <row r="70" spans="1:3" ht="12.75">
      <c r="A70" s="471" t="s">
        <v>642</v>
      </c>
      <c r="B70" s="475" t="s">
        <v>709</v>
      </c>
      <c r="C70" s="473">
        <v>730000</v>
      </c>
    </row>
    <row r="71" spans="1:3" ht="12.75">
      <c r="A71" s="471" t="s">
        <v>642</v>
      </c>
      <c r="B71" s="475" t="s">
        <v>710</v>
      </c>
      <c r="C71" s="473">
        <v>35000</v>
      </c>
    </row>
    <row r="72" spans="1:3" ht="12.75">
      <c r="A72" s="471" t="s">
        <v>642</v>
      </c>
      <c r="B72" s="475" t="s">
        <v>711</v>
      </c>
      <c r="C72" s="473">
        <v>15000</v>
      </c>
    </row>
    <row r="73" spans="1:3" ht="12.75">
      <c r="A73" s="471" t="s">
        <v>642</v>
      </c>
      <c r="B73" s="475" t="s">
        <v>712</v>
      </c>
      <c r="C73" s="473">
        <v>120000</v>
      </c>
    </row>
    <row r="74" spans="1:3" ht="12.75">
      <c r="A74" s="471" t="s">
        <v>647</v>
      </c>
      <c r="B74" s="475" t="s">
        <v>713</v>
      </c>
      <c r="C74" s="473">
        <v>500000</v>
      </c>
    </row>
    <row r="75" spans="1:5" ht="12.75">
      <c r="A75" s="471" t="s">
        <v>642</v>
      </c>
      <c r="B75" s="475" t="s">
        <v>714</v>
      </c>
      <c r="C75" s="473">
        <v>15000</v>
      </c>
      <c r="E75" s="474"/>
    </row>
    <row r="76" spans="1:5" ht="12.75">
      <c r="A76" s="471" t="s">
        <v>642</v>
      </c>
      <c r="B76" s="476" t="s">
        <v>715</v>
      </c>
      <c r="C76" s="473">
        <v>360000</v>
      </c>
      <c r="E76" s="474"/>
    </row>
    <row r="77" spans="1:5" ht="12.75">
      <c r="A77" s="471" t="s">
        <v>642</v>
      </c>
      <c r="B77" s="476" t="s">
        <v>716</v>
      </c>
      <c r="C77" s="473">
        <v>200000</v>
      </c>
      <c r="E77" s="474"/>
    </row>
    <row r="78" spans="1:5" ht="12.75">
      <c r="A78" s="471" t="s">
        <v>642</v>
      </c>
      <c r="B78" s="476" t="s">
        <v>717</v>
      </c>
      <c r="C78" s="473">
        <f>700000+130000</f>
        <v>830000</v>
      </c>
      <c r="E78" s="474"/>
    </row>
    <row r="79" spans="1:5" ht="12.75">
      <c r="A79" s="471" t="s">
        <v>642</v>
      </c>
      <c r="B79" s="476" t="s">
        <v>718</v>
      </c>
      <c r="C79" s="473">
        <v>200000</v>
      </c>
      <c r="E79" s="474"/>
    </row>
    <row r="80" spans="1:5" ht="12.75">
      <c r="A80" s="471" t="s">
        <v>642</v>
      </c>
      <c r="B80" s="476" t="s">
        <v>719</v>
      </c>
      <c r="C80" s="473">
        <v>640000</v>
      </c>
      <c r="E80" s="474"/>
    </row>
    <row r="81" spans="1:5" ht="12.75">
      <c r="A81" s="471" t="s">
        <v>647</v>
      </c>
      <c r="B81" s="476" t="s">
        <v>720</v>
      </c>
      <c r="C81" s="473">
        <v>70000</v>
      </c>
      <c r="E81" s="474"/>
    </row>
    <row r="82" spans="1:5" ht="12.75">
      <c r="A82" s="471" t="s">
        <v>642</v>
      </c>
      <c r="B82" s="476" t="s">
        <v>721</v>
      </c>
      <c r="C82" s="473">
        <v>150000</v>
      </c>
      <c r="E82" s="474"/>
    </row>
    <row r="83" spans="1:3" ht="12.75">
      <c r="A83" s="477" t="s">
        <v>642</v>
      </c>
      <c r="B83" s="475" t="s">
        <v>722</v>
      </c>
      <c r="C83" s="473">
        <v>460000</v>
      </c>
    </row>
    <row r="84" spans="1:3" ht="12.75">
      <c r="A84" s="471" t="s">
        <v>642</v>
      </c>
      <c r="B84" s="475" t="s">
        <v>723</v>
      </c>
      <c r="C84" s="473">
        <v>2130000</v>
      </c>
    </row>
    <row r="85" spans="1:3" ht="12.75">
      <c r="A85" s="471" t="s">
        <v>642</v>
      </c>
      <c r="B85" s="475" t="s">
        <v>724</v>
      </c>
      <c r="C85" s="473">
        <v>5880000</v>
      </c>
    </row>
    <row r="86" spans="1:3" ht="12.75">
      <c r="A86" s="471" t="s">
        <v>642</v>
      </c>
      <c r="B86" s="475" t="s">
        <v>725</v>
      </c>
      <c r="C86" s="473">
        <v>1040000</v>
      </c>
    </row>
    <row r="87" spans="1:5" ht="12.75">
      <c r="A87" s="479" t="s">
        <v>647</v>
      </c>
      <c r="B87" s="476" t="s">
        <v>726</v>
      </c>
      <c r="C87" s="473">
        <v>250000</v>
      </c>
      <c r="E87" s="474"/>
    </row>
    <row r="88" spans="1:3" ht="14.25" customHeight="1">
      <c r="A88" s="648" t="s">
        <v>727</v>
      </c>
      <c r="B88" s="648" t="s">
        <v>639</v>
      </c>
      <c r="C88" s="480">
        <f>SUM(C6:C87)</f>
        <v>94906000</v>
      </c>
    </row>
    <row r="89" spans="1:4" ht="12.75">
      <c r="A89" s="481" t="s">
        <v>728</v>
      </c>
      <c r="B89" s="482" t="s">
        <v>729</v>
      </c>
      <c r="C89" s="483"/>
      <c r="D89" s="484"/>
    </row>
  </sheetData>
  <sheetProtection selectLockedCells="1" selectUnlockedCells="1"/>
  <mergeCells count="4">
    <mergeCell ref="A1:C1"/>
    <mergeCell ref="A2:C2"/>
    <mergeCell ref="A3:A5"/>
    <mergeCell ref="A88:B88"/>
  </mergeCells>
  <printOptions/>
  <pageMargins left="0.7875" right="0.7875" top="0.9840277777777777" bottom="0.9840277777777777" header="0.5118055555555555" footer="0.511805555555555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O141"/>
  <sheetViews>
    <sheetView tabSelected="1" zoomScale="120" zoomScaleNormal="120" zoomScalePageLayoutView="0" workbookViewId="0" topLeftCell="A124">
      <selection activeCell="R22" sqref="R22"/>
    </sheetView>
  </sheetViews>
  <sheetFormatPr defaultColWidth="8.8515625" defaultRowHeight="12.75"/>
  <cols>
    <col min="1" max="1" width="18.8515625" style="0" customWidth="1"/>
    <col min="2" max="2" width="19.421875" style="251" customWidth="1"/>
    <col min="3" max="3" width="18.8515625" style="251" customWidth="1"/>
    <col min="4" max="4" width="12.00390625" style="251" customWidth="1"/>
    <col min="5" max="5" width="17.00390625" style="251" customWidth="1"/>
    <col min="6" max="6" width="11.00390625" style="251" customWidth="1"/>
    <col min="7" max="7" width="12.140625" style="251" customWidth="1"/>
    <col min="8" max="8" width="11.57421875" style="251" customWidth="1"/>
    <col min="9" max="9" width="15.7109375" style="251" customWidth="1"/>
    <col min="10" max="10" width="12.140625" style="251" customWidth="1"/>
    <col min="11" max="11" width="3.8515625" style="251" customWidth="1"/>
    <col min="12" max="12" width="3.421875" style="251" hidden="1" customWidth="1"/>
    <col min="13" max="13" width="18.7109375" style="251" customWidth="1"/>
    <col min="14" max="14" width="12.28125" style="251" customWidth="1"/>
    <col min="15" max="16384" width="8.8515625" style="251" customWidth="1"/>
  </cols>
  <sheetData>
    <row r="1" spans="1:14" ht="12.75">
      <c r="A1" s="649" t="s">
        <v>0</v>
      </c>
      <c r="B1" s="649"/>
      <c r="C1" s="649"/>
      <c r="D1" s="649"/>
      <c r="E1" s="649"/>
      <c r="F1" s="649"/>
      <c r="G1" s="649"/>
      <c r="H1" s="649"/>
      <c r="I1" s="649"/>
      <c r="J1" s="649"/>
      <c r="K1" s="649"/>
      <c r="L1" s="649"/>
      <c r="M1" s="649"/>
      <c r="N1" s="649"/>
    </row>
    <row r="2" spans="1:14" ht="12.75">
      <c r="A2" s="649"/>
      <c r="B2" s="649"/>
      <c r="C2" s="649"/>
      <c r="D2" s="649"/>
      <c r="E2" s="649"/>
      <c r="F2" s="649"/>
      <c r="G2" s="649"/>
      <c r="H2" s="649"/>
      <c r="I2" s="649"/>
      <c r="J2" s="649"/>
      <c r="K2" s="649"/>
      <c r="L2" s="649"/>
      <c r="M2" s="649"/>
      <c r="N2" s="649"/>
    </row>
    <row r="3" spans="1:14" ht="12.75" customHeight="1">
      <c r="A3" s="650" t="s">
        <v>730</v>
      </c>
      <c r="B3" s="650"/>
      <c r="C3" s="650"/>
      <c r="D3" s="650"/>
      <c r="E3" s="650"/>
      <c r="F3" s="650"/>
      <c r="G3" s="650"/>
      <c r="H3" s="650"/>
      <c r="I3" s="650"/>
      <c r="J3" s="650"/>
      <c r="K3" s="650"/>
      <c r="L3" s="650"/>
      <c r="M3" s="650"/>
      <c r="N3" s="650"/>
    </row>
    <row r="4" spans="1:14" ht="12.75" customHeight="1">
      <c r="A4" s="651" t="s">
        <v>731</v>
      </c>
      <c r="B4" s="651"/>
      <c r="C4" s="651"/>
      <c r="D4" s="651"/>
      <c r="E4" s="651"/>
      <c r="F4" s="651"/>
      <c r="G4" s="651"/>
      <c r="H4" s="651"/>
      <c r="I4" s="651"/>
      <c r="J4" s="651"/>
      <c r="K4" s="651"/>
      <c r="L4" s="651"/>
      <c r="M4" s="651"/>
      <c r="N4" s="651"/>
    </row>
    <row r="5" spans="1:14" ht="13.5" customHeight="1">
      <c r="A5" s="651" t="s">
        <v>732</v>
      </c>
      <c r="B5" s="651"/>
      <c r="C5" s="651"/>
      <c r="D5" s="651"/>
      <c r="E5" s="651"/>
      <c r="F5" s="651"/>
      <c r="G5" s="651"/>
      <c r="H5" s="651"/>
      <c r="I5" s="651"/>
      <c r="J5" s="651"/>
      <c r="K5" s="651"/>
      <c r="L5" s="651"/>
      <c r="M5" s="651"/>
      <c r="N5" s="651"/>
    </row>
    <row r="6" spans="1:14" ht="13.5" customHeight="1">
      <c r="A6" s="652" t="s">
        <v>733</v>
      </c>
      <c r="B6" s="652"/>
      <c r="C6" s="652"/>
      <c r="D6" s="652"/>
      <c r="E6" s="652"/>
      <c r="F6" s="652"/>
      <c r="G6" s="652"/>
      <c r="H6" s="652"/>
      <c r="I6" s="652"/>
      <c r="J6" s="652"/>
      <c r="K6" s="652"/>
      <c r="L6" s="652"/>
      <c r="M6" s="652"/>
      <c r="N6" s="652"/>
    </row>
    <row r="7" spans="2:13" ht="13.5" customHeight="1">
      <c r="B7" s="653"/>
      <c r="C7" s="653"/>
      <c r="D7" s="485"/>
      <c r="E7" s="485"/>
      <c r="F7" s="654" t="s">
        <v>734</v>
      </c>
      <c r="G7" s="654"/>
      <c r="H7" s="654"/>
      <c r="I7" s="654" t="s">
        <v>735</v>
      </c>
      <c r="J7" s="654"/>
      <c r="K7" s="654"/>
      <c r="L7" s="654"/>
      <c r="M7" s="654"/>
    </row>
    <row r="8" spans="2:14" ht="12.75" customHeight="1">
      <c r="B8" s="655" t="s">
        <v>736</v>
      </c>
      <c r="C8" s="655"/>
      <c r="D8" s="655" t="s">
        <v>737</v>
      </c>
      <c r="E8" s="655" t="s">
        <v>738</v>
      </c>
      <c r="F8" s="655" t="s">
        <v>739</v>
      </c>
      <c r="G8" s="655" t="s">
        <v>740</v>
      </c>
      <c r="H8" s="655" t="s">
        <v>741</v>
      </c>
      <c r="I8" s="656" t="s">
        <v>742</v>
      </c>
      <c r="J8" s="656" t="s">
        <v>743</v>
      </c>
      <c r="K8" s="656"/>
      <c r="L8" s="656"/>
      <c r="M8" s="656" t="s">
        <v>744</v>
      </c>
      <c r="N8" s="657" t="s">
        <v>745</v>
      </c>
    </row>
    <row r="9" spans="1:14" ht="29.25" customHeight="1">
      <c r="A9" s="486"/>
      <c r="B9" s="655"/>
      <c r="C9" s="655"/>
      <c r="D9" s="655"/>
      <c r="E9" s="655"/>
      <c r="F9" s="655"/>
      <c r="G9" s="655"/>
      <c r="H9" s="655"/>
      <c r="I9" s="656"/>
      <c r="J9" s="656"/>
      <c r="K9" s="656"/>
      <c r="L9" s="656"/>
      <c r="M9" s="656"/>
      <c r="N9" s="657"/>
    </row>
    <row r="10" spans="1:14" ht="12.75">
      <c r="A10" s="658" t="s">
        <v>746</v>
      </c>
      <c r="B10" s="659"/>
      <c r="C10" s="659"/>
      <c r="D10" s="487"/>
      <c r="E10" s="488"/>
      <c r="F10" s="489"/>
      <c r="G10" s="489"/>
      <c r="H10" s="489"/>
      <c r="I10" s="490"/>
      <c r="J10" s="660"/>
      <c r="K10" s="660"/>
      <c r="L10" s="660"/>
      <c r="M10" s="491"/>
      <c r="N10" s="492"/>
    </row>
    <row r="11" spans="1:14" ht="14.25" customHeight="1">
      <c r="A11" s="658"/>
      <c r="B11" s="661" t="s">
        <v>747</v>
      </c>
      <c r="C11" s="661"/>
      <c r="D11" s="493">
        <v>44825</v>
      </c>
      <c r="E11" s="494">
        <v>442870.4</v>
      </c>
      <c r="F11" s="495">
        <v>0.5</v>
      </c>
      <c r="G11" s="495">
        <v>0.5</v>
      </c>
      <c r="H11" s="495"/>
      <c r="I11" s="496">
        <v>292870.4</v>
      </c>
      <c r="J11" s="662"/>
      <c r="K11" s="662"/>
      <c r="L11" s="662"/>
      <c r="M11" s="496"/>
      <c r="N11" s="498">
        <v>150000</v>
      </c>
    </row>
    <row r="12" spans="1:14" ht="14.25" customHeight="1">
      <c r="A12" s="658"/>
      <c r="B12" s="661" t="s">
        <v>748</v>
      </c>
      <c r="C12" s="661"/>
      <c r="D12" s="499">
        <v>44865</v>
      </c>
      <c r="E12" s="500">
        <v>72300</v>
      </c>
      <c r="F12" s="501">
        <v>0.5</v>
      </c>
      <c r="G12" s="501">
        <v>0.5</v>
      </c>
      <c r="H12" s="501"/>
      <c r="I12" s="502">
        <v>72300</v>
      </c>
      <c r="J12" s="663"/>
      <c r="K12" s="663"/>
      <c r="L12" s="663"/>
      <c r="M12" s="502"/>
      <c r="N12" s="504"/>
    </row>
    <row r="13" spans="1:14" ht="14.25" customHeight="1">
      <c r="A13" s="658"/>
      <c r="B13" s="661" t="s">
        <v>749</v>
      </c>
      <c r="C13" s="661"/>
      <c r="D13" s="499">
        <v>44698</v>
      </c>
      <c r="E13" s="500">
        <v>427944.57</v>
      </c>
      <c r="F13" s="501">
        <v>1</v>
      </c>
      <c r="G13" s="501"/>
      <c r="H13" s="501"/>
      <c r="I13" s="502">
        <v>189944.57</v>
      </c>
      <c r="J13" s="663"/>
      <c r="K13" s="663"/>
      <c r="L13" s="663"/>
      <c r="M13" s="502"/>
      <c r="N13" s="504">
        <v>238000</v>
      </c>
    </row>
    <row r="14" spans="1:14" ht="14.25" customHeight="1">
      <c r="A14" s="658"/>
      <c r="B14" s="661" t="s">
        <v>750</v>
      </c>
      <c r="C14" s="661"/>
      <c r="D14" s="499">
        <v>44389</v>
      </c>
      <c r="E14" s="494">
        <v>494794.41</v>
      </c>
      <c r="F14" s="501">
        <v>0.4</v>
      </c>
      <c r="G14" s="501">
        <v>0.6</v>
      </c>
      <c r="H14" s="501"/>
      <c r="I14" s="502">
        <v>127764.23</v>
      </c>
      <c r="J14" s="663"/>
      <c r="K14" s="663"/>
      <c r="L14" s="663"/>
      <c r="M14" s="502"/>
      <c r="N14" s="505">
        <v>367030.18</v>
      </c>
    </row>
    <row r="15" spans="1:14" ht="14.25" customHeight="1">
      <c r="A15" s="658"/>
      <c r="B15" s="661" t="s">
        <v>751</v>
      </c>
      <c r="C15" s="661"/>
      <c r="D15" s="499">
        <v>45048</v>
      </c>
      <c r="E15" s="500">
        <v>434137.65</v>
      </c>
      <c r="F15" s="501"/>
      <c r="G15" s="501">
        <v>1</v>
      </c>
      <c r="H15" s="501"/>
      <c r="I15" s="500">
        <v>434137.65</v>
      </c>
      <c r="J15" s="664"/>
      <c r="K15" s="664"/>
      <c r="L15" s="664"/>
      <c r="M15" s="502"/>
      <c r="N15" s="504"/>
    </row>
    <row r="16" spans="1:14" ht="14.25" customHeight="1">
      <c r="A16" s="658"/>
      <c r="B16" s="665" t="s">
        <v>752</v>
      </c>
      <c r="C16" s="665"/>
      <c r="D16" s="499">
        <v>45111</v>
      </c>
      <c r="E16" s="500">
        <v>38500</v>
      </c>
      <c r="F16" s="501"/>
      <c r="G16" s="501">
        <v>1</v>
      </c>
      <c r="H16" s="501"/>
      <c r="I16" s="500">
        <v>38500</v>
      </c>
      <c r="J16" s="664"/>
      <c r="K16" s="664"/>
      <c r="L16" s="664"/>
      <c r="M16" s="502"/>
      <c r="N16" s="504"/>
    </row>
    <row r="17" spans="1:14" ht="13.5" customHeight="1">
      <c r="A17" s="658"/>
      <c r="B17" s="665" t="s">
        <v>753</v>
      </c>
      <c r="C17" s="665"/>
      <c r="D17" s="499">
        <v>44782</v>
      </c>
      <c r="E17" s="500">
        <v>146615.46</v>
      </c>
      <c r="F17" s="501">
        <v>1</v>
      </c>
      <c r="G17" s="501"/>
      <c r="H17" s="501"/>
      <c r="I17" s="500">
        <v>146615.46</v>
      </c>
      <c r="J17" s="664"/>
      <c r="K17" s="664"/>
      <c r="L17" s="664"/>
      <c r="M17" s="502"/>
      <c r="N17" s="504"/>
    </row>
    <row r="18" spans="1:14" ht="14.25" customHeight="1">
      <c r="A18" s="658"/>
      <c r="B18" s="666" t="s">
        <v>754</v>
      </c>
      <c r="C18" s="666"/>
      <c r="D18" s="499">
        <v>44928</v>
      </c>
      <c r="E18" s="500">
        <v>16800</v>
      </c>
      <c r="F18" s="501"/>
      <c r="G18" s="501">
        <v>1</v>
      </c>
      <c r="H18" s="501"/>
      <c r="I18" s="500">
        <v>16800</v>
      </c>
      <c r="J18" s="667"/>
      <c r="K18" s="667"/>
      <c r="L18" s="506"/>
      <c r="M18" s="502"/>
      <c r="N18" s="504"/>
    </row>
    <row r="19" spans="1:14" ht="14.25" customHeight="1">
      <c r="A19" s="658"/>
      <c r="B19" s="665" t="s">
        <v>755</v>
      </c>
      <c r="C19" s="665"/>
      <c r="D19" s="499">
        <v>44922</v>
      </c>
      <c r="E19" s="500">
        <v>540448.25</v>
      </c>
      <c r="F19" s="501">
        <v>0.1</v>
      </c>
      <c r="G19" s="501">
        <v>0.9</v>
      </c>
      <c r="H19" s="501"/>
      <c r="I19" s="500">
        <v>540448.25</v>
      </c>
      <c r="J19" s="664"/>
      <c r="K19" s="664"/>
      <c r="L19" s="664"/>
      <c r="M19" s="502"/>
      <c r="N19" s="504"/>
    </row>
    <row r="20" spans="1:15" ht="14.25" customHeight="1">
      <c r="A20" s="658"/>
      <c r="B20" s="665" t="s">
        <v>756</v>
      </c>
      <c r="C20" s="665"/>
      <c r="D20" s="499">
        <v>44585</v>
      </c>
      <c r="E20" s="500">
        <v>122361.52</v>
      </c>
      <c r="F20" s="501">
        <v>1</v>
      </c>
      <c r="G20" s="501"/>
      <c r="H20" s="501"/>
      <c r="I20" s="500">
        <v>122361.52</v>
      </c>
      <c r="J20" s="664"/>
      <c r="K20" s="664"/>
      <c r="L20" s="664"/>
      <c r="M20" s="502"/>
      <c r="N20" s="504"/>
      <c r="O20" s="507"/>
    </row>
    <row r="21" spans="1:14" ht="14.25" customHeight="1">
      <c r="A21" s="658"/>
      <c r="B21" s="665" t="s">
        <v>757</v>
      </c>
      <c r="C21" s="665"/>
      <c r="D21" s="499">
        <v>44585</v>
      </c>
      <c r="E21" s="500">
        <v>135851.13</v>
      </c>
      <c r="F21" s="501">
        <v>1</v>
      </c>
      <c r="G21" s="501"/>
      <c r="H21" s="501"/>
      <c r="I21" s="500">
        <v>135851.13</v>
      </c>
      <c r="J21" s="664"/>
      <c r="K21" s="664"/>
      <c r="L21" s="664"/>
      <c r="M21" s="502"/>
      <c r="N21" s="504"/>
    </row>
    <row r="22" spans="1:14" ht="14.25" customHeight="1">
      <c r="A22" s="658"/>
      <c r="B22" s="665" t="s">
        <v>758</v>
      </c>
      <c r="C22" s="665"/>
      <c r="D22" s="499">
        <v>44473</v>
      </c>
      <c r="E22" s="500">
        <v>238558.78</v>
      </c>
      <c r="F22" s="501">
        <v>1</v>
      </c>
      <c r="G22" s="501"/>
      <c r="H22" s="501"/>
      <c r="I22" s="500">
        <v>238558.78</v>
      </c>
      <c r="J22" s="664"/>
      <c r="K22" s="664"/>
      <c r="L22" s="664"/>
      <c r="M22" s="502"/>
      <c r="N22" s="504"/>
    </row>
    <row r="23" spans="1:14" ht="14.25" customHeight="1">
      <c r="A23" s="658"/>
      <c r="B23" s="666" t="s">
        <v>759</v>
      </c>
      <c r="C23" s="666"/>
      <c r="D23" s="499">
        <v>44670</v>
      </c>
      <c r="E23" s="500">
        <v>31979.25</v>
      </c>
      <c r="F23" s="501">
        <v>1</v>
      </c>
      <c r="G23" s="501"/>
      <c r="H23" s="501"/>
      <c r="I23" s="500">
        <v>31979.25</v>
      </c>
      <c r="J23" s="668"/>
      <c r="K23" s="668"/>
      <c r="L23" s="503"/>
      <c r="M23" s="500"/>
      <c r="N23" s="504"/>
    </row>
    <row r="24" spans="1:14" ht="14.25" customHeight="1">
      <c r="A24" s="658"/>
      <c r="B24" s="665" t="s">
        <v>760</v>
      </c>
      <c r="C24" s="665"/>
      <c r="D24" s="499">
        <v>44851</v>
      </c>
      <c r="E24" s="500">
        <v>95164.18</v>
      </c>
      <c r="F24" s="501">
        <v>1</v>
      </c>
      <c r="G24" s="501"/>
      <c r="H24" s="501"/>
      <c r="I24" s="500">
        <v>95164.18</v>
      </c>
      <c r="J24" s="668"/>
      <c r="K24" s="668"/>
      <c r="L24" s="503"/>
      <c r="M24" s="502"/>
      <c r="N24" s="504"/>
    </row>
    <row r="25" spans="1:14" ht="14.25" customHeight="1">
      <c r="A25" s="658"/>
      <c r="B25" s="666" t="s">
        <v>761</v>
      </c>
      <c r="C25" s="666"/>
      <c r="D25" s="499">
        <v>44819</v>
      </c>
      <c r="E25" s="500">
        <v>271043.69</v>
      </c>
      <c r="F25" s="501">
        <v>1</v>
      </c>
      <c r="G25" s="501"/>
      <c r="H25" s="501"/>
      <c r="I25" s="502">
        <v>271043.69</v>
      </c>
      <c r="J25" s="668"/>
      <c r="K25" s="668"/>
      <c r="L25" s="503"/>
      <c r="M25" s="502"/>
      <c r="N25" s="504"/>
    </row>
    <row r="26" spans="1:14" ht="14.25" customHeight="1">
      <c r="A26" s="658"/>
      <c r="B26" s="666" t="s">
        <v>762</v>
      </c>
      <c r="C26" s="666"/>
      <c r="D26" s="499">
        <v>44795</v>
      </c>
      <c r="E26" s="500">
        <v>149065.11</v>
      </c>
      <c r="F26" s="501">
        <v>1</v>
      </c>
      <c r="G26" s="501"/>
      <c r="H26" s="501"/>
      <c r="I26" s="500">
        <v>149065.11</v>
      </c>
      <c r="J26" s="668"/>
      <c r="K26" s="668"/>
      <c r="L26" s="503"/>
      <c r="M26" s="502"/>
      <c r="N26" s="504"/>
    </row>
    <row r="27" spans="1:14" ht="14.25" customHeight="1">
      <c r="A27" s="658"/>
      <c r="B27" s="666" t="s">
        <v>763</v>
      </c>
      <c r="C27" s="666"/>
      <c r="D27" s="499">
        <v>44563</v>
      </c>
      <c r="E27" s="500">
        <v>9000</v>
      </c>
      <c r="F27" s="501">
        <v>1</v>
      </c>
      <c r="G27" s="501"/>
      <c r="H27" s="501"/>
      <c r="I27" s="500">
        <v>9000</v>
      </c>
      <c r="J27" s="668"/>
      <c r="K27" s="668"/>
      <c r="L27" s="503"/>
      <c r="M27" s="502"/>
      <c r="N27" s="504"/>
    </row>
    <row r="28" spans="1:14" ht="14.25" customHeight="1">
      <c r="A28" s="658"/>
      <c r="B28" s="666" t="s">
        <v>764</v>
      </c>
      <c r="C28" s="666"/>
      <c r="D28" s="499">
        <v>44866</v>
      </c>
      <c r="E28" s="494">
        <v>20546.26</v>
      </c>
      <c r="F28" s="501">
        <v>1</v>
      </c>
      <c r="G28" s="501"/>
      <c r="H28" s="501"/>
      <c r="I28" s="500"/>
      <c r="J28" s="668"/>
      <c r="K28" s="668"/>
      <c r="L28" s="503"/>
      <c r="M28" s="502"/>
      <c r="N28" s="504"/>
    </row>
    <row r="29" spans="1:14" ht="14.25" customHeight="1">
      <c r="A29" s="658"/>
      <c r="B29" s="666" t="s">
        <v>765</v>
      </c>
      <c r="C29" s="666"/>
      <c r="D29" s="499">
        <v>44739</v>
      </c>
      <c r="E29" s="500">
        <v>577985.31</v>
      </c>
      <c r="F29" s="501">
        <v>1</v>
      </c>
      <c r="G29" s="501"/>
      <c r="H29" s="501"/>
      <c r="I29" s="502"/>
      <c r="J29" s="668"/>
      <c r="K29" s="668"/>
      <c r="L29" s="503"/>
      <c r="M29" s="502"/>
      <c r="N29" s="504">
        <v>525000</v>
      </c>
    </row>
    <row r="30" spans="1:14" ht="14.25" customHeight="1">
      <c r="A30" s="658"/>
      <c r="B30" s="666" t="s">
        <v>766</v>
      </c>
      <c r="C30" s="666"/>
      <c r="D30" s="499">
        <v>44928</v>
      </c>
      <c r="E30" s="494">
        <v>25715.84</v>
      </c>
      <c r="F30" s="501"/>
      <c r="G30" s="501">
        <v>1</v>
      </c>
      <c r="H30" s="501"/>
      <c r="I30" s="500"/>
      <c r="J30" s="668"/>
      <c r="K30" s="668"/>
      <c r="L30" s="503"/>
      <c r="M30" s="502"/>
      <c r="N30" s="504"/>
    </row>
    <row r="31" spans="1:14" ht="14.25" customHeight="1">
      <c r="A31" s="658"/>
      <c r="B31" s="666" t="s">
        <v>767</v>
      </c>
      <c r="C31" s="666"/>
      <c r="D31" s="499">
        <v>44928</v>
      </c>
      <c r="E31" s="500">
        <v>24550</v>
      </c>
      <c r="F31" s="501"/>
      <c r="G31" s="501">
        <v>1</v>
      </c>
      <c r="H31" s="501"/>
      <c r="I31" s="500"/>
      <c r="J31" s="667"/>
      <c r="K31" s="667"/>
      <c r="L31" s="506"/>
      <c r="M31" s="502"/>
      <c r="N31" s="504"/>
    </row>
    <row r="32" spans="1:14" ht="14.25" customHeight="1">
      <c r="A32" s="658"/>
      <c r="B32" s="666" t="s">
        <v>768</v>
      </c>
      <c r="C32" s="666"/>
      <c r="D32" s="499">
        <v>44760</v>
      </c>
      <c r="E32" s="500">
        <v>56386.39</v>
      </c>
      <c r="F32" s="501">
        <v>1</v>
      </c>
      <c r="G32" s="501"/>
      <c r="H32" s="501"/>
      <c r="I32" s="500"/>
      <c r="J32" s="668"/>
      <c r="K32" s="668"/>
      <c r="L32" s="503"/>
      <c r="M32" s="502"/>
      <c r="N32" s="504"/>
    </row>
    <row r="33" spans="1:14" ht="14.25" customHeight="1">
      <c r="A33" s="658"/>
      <c r="B33" s="669" t="s">
        <v>769</v>
      </c>
      <c r="C33" s="669"/>
      <c r="D33" s="508"/>
      <c r="E33" s="500">
        <v>86000</v>
      </c>
      <c r="F33" s="501"/>
      <c r="G33" s="501"/>
      <c r="H33" s="501"/>
      <c r="I33" s="500"/>
      <c r="J33" s="664"/>
      <c r="K33" s="664"/>
      <c r="L33" s="664"/>
      <c r="M33" s="502">
        <v>86000</v>
      </c>
      <c r="N33" s="504"/>
    </row>
    <row r="34" spans="1:14" ht="14.25" customHeight="1">
      <c r="A34" s="658"/>
      <c r="B34" s="670" t="s">
        <v>770</v>
      </c>
      <c r="C34" s="670"/>
      <c r="D34" s="508"/>
      <c r="E34" s="500">
        <v>258000</v>
      </c>
      <c r="F34" s="501"/>
      <c r="G34" s="501"/>
      <c r="H34" s="501"/>
      <c r="I34" s="500"/>
      <c r="J34" s="663"/>
      <c r="K34" s="663"/>
      <c r="L34" s="663"/>
      <c r="M34" s="502">
        <v>258000</v>
      </c>
      <c r="N34" s="504"/>
    </row>
    <row r="35" spans="1:14" ht="14.25" customHeight="1">
      <c r="A35" s="658"/>
      <c r="B35" s="666" t="s">
        <v>771</v>
      </c>
      <c r="C35" s="666"/>
      <c r="D35" s="509"/>
      <c r="E35" s="500">
        <v>25000</v>
      </c>
      <c r="F35" s="489"/>
      <c r="G35" s="489">
        <v>1</v>
      </c>
      <c r="H35" s="489"/>
      <c r="I35" s="510"/>
      <c r="J35" s="671"/>
      <c r="K35" s="671"/>
      <c r="L35" s="511"/>
      <c r="M35" s="512">
        <v>25000</v>
      </c>
      <c r="N35" s="513"/>
    </row>
    <row r="36" spans="1:14" ht="14.25" customHeight="1">
      <c r="A36" s="658"/>
      <c r="B36" s="666" t="s">
        <v>772</v>
      </c>
      <c r="C36" s="666"/>
      <c r="D36" s="509"/>
      <c r="E36" s="500">
        <v>63000</v>
      </c>
      <c r="F36" s="489"/>
      <c r="G36" s="489">
        <v>1</v>
      </c>
      <c r="H36" s="489"/>
      <c r="I36" s="510"/>
      <c r="J36" s="660"/>
      <c r="K36" s="660"/>
      <c r="L36" s="514"/>
      <c r="M36" s="512">
        <v>63000</v>
      </c>
      <c r="N36" s="513"/>
    </row>
    <row r="37" spans="1:14" ht="14.25" customHeight="1">
      <c r="A37" s="658"/>
      <c r="B37" s="672" t="s">
        <v>773</v>
      </c>
      <c r="C37" s="672"/>
      <c r="D37" s="508"/>
      <c r="E37" s="510">
        <v>150000</v>
      </c>
      <c r="F37" s="489"/>
      <c r="G37" s="489"/>
      <c r="H37" s="489">
        <v>1</v>
      </c>
      <c r="I37" s="510"/>
      <c r="J37" s="671"/>
      <c r="K37" s="671"/>
      <c r="L37" s="511"/>
      <c r="M37" s="512">
        <v>150000</v>
      </c>
      <c r="N37" s="513"/>
    </row>
    <row r="38" spans="1:14" ht="14.25" customHeight="1">
      <c r="A38" s="658"/>
      <c r="B38" s="672" t="s">
        <v>774</v>
      </c>
      <c r="C38" s="672"/>
      <c r="D38" s="508"/>
      <c r="E38" s="510">
        <v>50000</v>
      </c>
      <c r="F38" s="489"/>
      <c r="G38" s="489"/>
      <c r="H38" s="489">
        <v>1</v>
      </c>
      <c r="I38" s="510"/>
      <c r="J38" s="671"/>
      <c r="K38" s="671"/>
      <c r="L38" s="511"/>
      <c r="M38" s="512">
        <v>50000</v>
      </c>
      <c r="N38" s="513"/>
    </row>
    <row r="39" spans="1:14" ht="14.25" customHeight="1">
      <c r="A39" s="658"/>
      <c r="B39" s="672" t="s">
        <v>775</v>
      </c>
      <c r="C39" s="672"/>
      <c r="D39" s="508"/>
      <c r="E39" s="510">
        <v>20000</v>
      </c>
      <c r="F39" s="489"/>
      <c r="G39" s="489"/>
      <c r="H39" s="489">
        <v>1</v>
      </c>
      <c r="I39" s="510"/>
      <c r="J39" s="671"/>
      <c r="K39" s="671"/>
      <c r="L39" s="511"/>
      <c r="M39" s="512">
        <v>20000</v>
      </c>
      <c r="N39" s="513"/>
    </row>
    <row r="40" spans="1:14" ht="14.25" customHeight="1">
      <c r="A40" s="658"/>
      <c r="B40" s="670" t="s">
        <v>776</v>
      </c>
      <c r="C40" s="670"/>
      <c r="D40" s="508"/>
      <c r="E40" s="510">
        <v>40000</v>
      </c>
      <c r="F40" s="489"/>
      <c r="G40" s="489"/>
      <c r="H40" s="489">
        <v>1</v>
      </c>
      <c r="I40" s="510"/>
      <c r="J40" s="671"/>
      <c r="K40" s="671"/>
      <c r="L40" s="511"/>
      <c r="M40" s="512">
        <v>40000</v>
      </c>
      <c r="N40" s="513"/>
    </row>
    <row r="41" spans="1:14" ht="14.25" customHeight="1">
      <c r="A41" s="658"/>
      <c r="B41" s="666" t="s">
        <v>777</v>
      </c>
      <c r="C41" s="666"/>
      <c r="D41" s="499"/>
      <c r="E41" s="500">
        <v>150000</v>
      </c>
      <c r="F41" s="501"/>
      <c r="G41" s="501"/>
      <c r="H41" s="501">
        <v>1</v>
      </c>
      <c r="I41" s="500"/>
      <c r="J41" s="668"/>
      <c r="K41" s="668"/>
      <c r="L41" s="503"/>
      <c r="M41" s="502">
        <v>150000</v>
      </c>
      <c r="N41" s="504"/>
    </row>
    <row r="42" spans="1:14" ht="14.25" customHeight="1">
      <c r="A42" s="658"/>
      <c r="B42" s="666" t="s">
        <v>778</v>
      </c>
      <c r="C42" s="666"/>
      <c r="D42" s="499"/>
      <c r="E42" s="500">
        <v>150000</v>
      </c>
      <c r="F42" s="501"/>
      <c r="G42" s="501"/>
      <c r="H42" s="501">
        <v>1</v>
      </c>
      <c r="I42" s="500"/>
      <c r="J42" s="668"/>
      <c r="K42" s="668"/>
      <c r="L42" s="503"/>
      <c r="M42" s="502">
        <v>150000</v>
      </c>
      <c r="N42" s="513"/>
    </row>
    <row r="43" spans="1:14" ht="14.25" customHeight="1">
      <c r="A43" s="658"/>
      <c r="B43" s="672" t="s">
        <v>779</v>
      </c>
      <c r="C43" s="672"/>
      <c r="D43" s="508"/>
      <c r="E43" s="510">
        <v>700000</v>
      </c>
      <c r="F43" s="489"/>
      <c r="G43" s="489"/>
      <c r="H43" s="489">
        <v>1</v>
      </c>
      <c r="I43" s="510"/>
      <c r="J43" s="671"/>
      <c r="K43" s="671"/>
      <c r="L43" s="511"/>
      <c r="M43" s="512">
        <v>700000</v>
      </c>
      <c r="N43" s="513"/>
    </row>
    <row r="44" spans="1:14" ht="12.75">
      <c r="A44" s="658"/>
      <c r="B44" s="672"/>
      <c r="C44" s="672"/>
      <c r="D44" s="508"/>
      <c r="E44" s="510"/>
      <c r="F44" s="489"/>
      <c r="G44" s="489"/>
      <c r="H44" s="489"/>
      <c r="I44" s="510"/>
      <c r="J44" s="671"/>
      <c r="K44" s="671"/>
      <c r="L44" s="511"/>
      <c r="M44" s="512"/>
      <c r="N44" s="513"/>
    </row>
    <row r="45" spans="1:14" ht="12.75">
      <c r="A45" s="658"/>
      <c r="B45" s="672"/>
      <c r="C45" s="672"/>
      <c r="D45" s="508"/>
      <c r="E45" s="510"/>
      <c r="F45" s="489"/>
      <c r="G45" s="489"/>
      <c r="H45" s="489"/>
      <c r="I45" s="510"/>
      <c r="J45" s="671"/>
      <c r="K45" s="671"/>
      <c r="L45" s="511"/>
      <c r="M45" s="512"/>
      <c r="N45" s="513"/>
    </row>
    <row r="46" spans="1:14" ht="12.75">
      <c r="A46" s="658"/>
      <c r="B46" s="672"/>
      <c r="C46" s="672"/>
      <c r="D46" s="508"/>
      <c r="E46" s="510"/>
      <c r="F46" s="489"/>
      <c r="G46" s="489"/>
      <c r="H46" s="489"/>
      <c r="I46" s="510"/>
      <c r="J46" s="671"/>
      <c r="K46" s="671"/>
      <c r="L46" s="511"/>
      <c r="M46" s="512"/>
      <c r="N46" s="513"/>
    </row>
    <row r="47" spans="1:14" ht="12.75">
      <c r="A47" s="658"/>
      <c r="B47" s="672"/>
      <c r="C47" s="672"/>
      <c r="D47" s="508"/>
      <c r="E47" s="510"/>
      <c r="F47" s="489"/>
      <c r="G47" s="489"/>
      <c r="H47" s="489"/>
      <c r="I47" s="510"/>
      <c r="J47" s="671"/>
      <c r="K47" s="671"/>
      <c r="L47" s="511"/>
      <c r="M47" s="512"/>
      <c r="N47" s="513"/>
    </row>
    <row r="48" spans="1:14" ht="12.75">
      <c r="A48" s="658"/>
      <c r="B48" s="670"/>
      <c r="C48" s="670"/>
      <c r="D48" s="508"/>
      <c r="E48" s="510"/>
      <c r="F48" s="489"/>
      <c r="G48" s="489"/>
      <c r="H48" s="489"/>
      <c r="I48" s="510"/>
      <c r="J48" s="673"/>
      <c r="K48" s="673"/>
      <c r="L48" s="673"/>
      <c r="M48" s="512"/>
      <c r="N48" s="513"/>
    </row>
    <row r="49" spans="1:14" ht="14.25" customHeight="1">
      <c r="A49" s="658" t="s">
        <v>780</v>
      </c>
      <c r="B49" s="661" t="s">
        <v>781</v>
      </c>
      <c r="C49" s="661"/>
      <c r="D49" s="499">
        <v>44788</v>
      </c>
      <c r="E49" s="500">
        <v>538098.92</v>
      </c>
      <c r="F49" s="501">
        <v>0.3</v>
      </c>
      <c r="G49" s="501">
        <v>0.7</v>
      </c>
      <c r="H49" s="501"/>
      <c r="I49" s="500"/>
      <c r="J49" s="663"/>
      <c r="K49" s="663"/>
      <c r="L49" s="663"/>
      <c r="M49" s="502"/>
      <c r="N49" s="504"/>
    </row>
    <row r="50" spans="1:14" ht="14.25" customHeight="1">
      <c r="A50" s="658"/>
      <c r="B50" s="661" t="s">
        <v>782</v>
      </c>
      <c r="C50" s="661"/>
      <c r="D50" s="499">
        <v>45159</v>
      </c>
      <c r="E50" s="500">
        <v>34545</v>
      </c>
      <c r="F50" s="501"/>
      <c r="G50" s="501">
        <v>1</v>
      </c>
      <c r="H50" s="501"/>
      <c r="I50" s="500">
        <v>25000</v>
      </c>
      <c r="J50" s="663"/>
      <c r="K50" s="663"/>
      <c r="L50" s="663"/>
      <c r="M50" s="502"/>
      <c r="N50" s="504"/>
    </row>
    <row r="51" spans="1:14" ht="36" customHeight="1">
      <c r="A51" s="658"/>
      <c r="B51" s="661" t="s">
        <v>783</v>
      </c>
      <c r="C51" s="661"/>
      <c r="D51" s="499">
        <v>44413</v>
      </c>
      <c r="E51" s="500">
        <v>457000</v>
      </c>
      <c r="F51" s="501">
        <v>1</v>
      </c>
      <c r="G51" s="501"/>
      <c r="H51" s="501"/>
      <c r="I51" s="500"/>
      <c r="J51" s="663"/>
      <c r="K51" s="663"/>
      <c r="L51" s="663"/>
      <c r="M51" s="502"/>
      <c r="N51" s="504"/>
    </row>
    <row r="52" spans="1:14" ht="14.25" customHeight="1">
      <c r="A52" s="658"/>
      <c r="B52" s="661" t="s">
        <v>784</v>
      </c>
      <c r="C52" s="661"/>
      <c r="D52" s="499">
        <v>44713</v>
      </c>
      <c r="E52" s="500">
        <v>151412.94</v>
      </c>
      <c r="F52" s="501">
        <v>1</v>
      </c>
      <c r="G52" s="501"/>
      <c r="H52" s="501"/>
      <c r="I52" s="500"/>
      <c r="J52" s="663"/>
      <c r="K52" s="663"/>
      <c r="L52" s="663"/>
      <c r="M52" s="502"/>
      <c r="N52" s="504"/>
    </row>
    <row r="53" spans="1:14" ht="14.25" customHeight="1">
      <c r="A53" s="658"/>
      <c r="B53" s="661" t="s">
        <v>785</v>
      </c>
      <c r="C53" s="661"/>
      <c r="D53" s="499">
        <v>45139</v>
      </c>
      <c r="E53" s="500">
        <v>134850.24</v>
      </c>
      <c r="F53" s="501"/>
      <c r="G53" s="501">
        <v>1</v>
      </c>
      <c r="H53" s="501"/>
      <c r="I53" s="502"/>
      <c r="J53" s="663"/>
      <c r="K53" s="663"/>
      <c r="L53" s="663"/>
      <c r="M53" s="502"/>
      <c r="N53" s="504">
        <v>49000</v>
      </c>
    </row>
    <row r="54" spans="1:14" ht="14.25" customHeight="1">
      <c r="A54" s="658"/>
      <c r="B54" s="661" t="s">
        <v>786</v>
      </c>
      <c r="C54" s="661"/>
      <c r="D54" s="499">
        <v>45019</v>
      </c>
      <c r="E54" s="500">
        <v>407737.18</v>
      </c>
      <c r="F54" s="501"/>
      <c r="G54" s="501">
        <v>1</v>
      </c>
      <c r="H54" s="501"/>
      <c r="I54" s="500"/>
      <c r="J54" s="663"/>
      <c r="K54" s="663"/>
      <c r="L54" s="663"/>
      <c r="M54" s="502"/>
      <c r="N54" s="504">
        <v>185714.33</v>
      </c>
    </row>
    <row r="55" spans="1:14" ht="14.25" customHeight="1">
      <c r="A55" s="658"/>
      <c r="B55" s="661" t="s">
        <v>787</v>
      </c>
      <c r="C55" s="661"/>
      <c r="D55" s="509"/>
      <c r="E55" s="500">
        <v>1020000</v>
      </c>
      <c r="F55" s="501"/>
      <c r="G55" s="501"/>
      <c r="H55" s="501">
        <v>1</v>
      </c>
      <c r="I55" s="502"/>
      <c r="J55" s="663"/>
      <c r="K55" s="663"/>
      <c r="L55" s="663"/>
      <c r="M55" s="502">
        <f>E55</f>
        <v>1020000</v>
      </c>
      <c r="N55" s="504"/>
    </row>
    <row r="56" spans="1:14" ht="14.25" customHeight="1">
      <c r="A56" s="658"/>
      <c r="B56" s="670" t="s">
        <v>788</v>
      </c>
      <c r="C56" s="670"/>
      <c r="D56" s="508"/>
      <c r="E56" s="500">
        <v>200000</v>
      </c>
      <c r="F56" s="489"/>
      <c r="G56" s="489"/>
      <c r="H56" s="489">
        <v>1</v>
      </c>
      <c r="I56" s="510"/>
      <c r="J56" s="673"/>
      <c r="K56" s="673"/>
      <c r="L56" s="673"/>
      <c r="M56" s="512">
        <v>200000</v>
      </c>
      <c r="N56" s="513"/>
    </row>
    <row r="57" spans="1:14" ht="12.75">
      <c r="A57" s="658"/>
      <c r="B57" s="670"/>
      <c r="C57" s="670"/>
      <c r="D57" s="508"/>
      <c r="E57" s="500"/>
      <c r="F57" s="489"/>
      <c r="G57" s="489"/>
      <c r="H57" s="489"/>
      <c r="I57" s="510"/>
      <c r="J57" s="673"/>
      <c r="K57" s="673"/>
      <c r="L57" s="673"/>
      <c r="M57" s="512"/>
      <c r="N57" s="513"/>
    </row>
    <row r="58" spans="1:14" ht="12.75">
      <c r="A58" s="658"/>
      <c r="B58" s="670"/>
      <c r="C58" s="670"/>
      <c r="D58" s="508"/>
      <c r="E58" s="500"/>
      <c r="F58" s="489"/>
      <c r="G58" s="489"/>
      <c r="H58" s="489"/>
      <c r="I58" s="510"/>
      <c r="J58" s="673"/>
      <c r="K58" s="673"/>
      <c r="L58" s="673"/>
      <c r="M58" s="512"/>
      <c r="N58" s="513"/>
    </row>
    <row r="59" spans="1:14" ht="12.75">
      <c r="A59" s="658"/>
      <c r="B59" s="670"/>
      <c r="C59" s="670"/>
      <c r="D59" s="508"/>
      <c r="E59" s="500"/>
      <c r="F59" s="489"/>
      <c r="G59" s="489"/>
      <c r="H59" s="489"/>
      <c r="I59" s="510"/>
      <c r="J59" s="673"/>
      <c r="K59" s="673"/>
      <c r="L59" s="673"/>
      <c r="M59" s="512"/>
      <c r="N59" s="513"/>
    </row>
    <row r="60" spans="1:14" ht="12.75">
      <c r="A60" s="658"/>
      <c r="B60" s="670"/>
      <c r="C60" s="670"/>
      <c r="D60" s="508"/>
      <c r="E60" s="500"/>
      <c r="F60" s="489"/>
      <c r="G60" s="489"/>
      <c r="H60" s="489"/>
      <c r="I60" s="510"/>
      <c r="J60" s="673"/>
      <c r="K60" s="673"/>
      <c r="L60" s="673"/>
      <c r="M60" s="512"/>
      <c r="N60" s="513"/>
    </row>
    <row r="61" spans="1:14" ht="14.25" customHeight="1">
      <c r="A61" s="674" t="s">
        <v>789</v>
      </c>
      <c r="B61" s="665" t="s">
        <v>790</v>
      </c>
      <c r="C61" s="665"/>
      <c r="D61" s="499">
        <v>44994</v>
      </c>
      <c r="E61" s="500">
        <v>37720</v>
      </c>
      <c r="F61" s="501"/>
      <c r="G61" s="501">
        <v>1</v>
      </c>
      <c r="H61" s="501"/>
      <c r="I61" s="500"/>
      <c r="J61" s="664"/>
      <c r="K61" s="664"/>
      <c r="L61" s="664"/>
      <c r="M61" s="502"/>
      <c r="N61" s="504"/>
    </row>
    <row r="62" spans="1:14" ht="14.25" customHeight="1">
      <c r="A62" s="674"/>
      <c r="B62" s="661" t="s">
        <v>791</v>
      </c>
      <c r="C62" s="661"/>
      <c r="D62" s="499">
        <v>45048</v>
      </c>
      <c r="E62" s="500">
        <v>28590</v>
      </c>
      <c r="F62" s="501"/>
      <c r="G62" s="501">
        <v>1</v>
      </c>
      <c r="H62" s="501"/>
      <c r="I62" s="500"/>
      <c r="J62" s="663"/>
      <c r="K62" s="663"/>
      <c r="L62" s="663"/>
      <c r="M62" s="502"/>
      <c r="N62" s="504"/>
    </row>
    <row r="63" spans="1:14" ht="14.25" customHeight="1">
      <c r="A63" s="674"/>
      <c r="B63" s="661" t="s">
        <v>792</v>
      </c>
      <c r="C63" s="661"/>
      <c r="D63" s="499">
        <v>45124</v>
      </c>
      <c r="E63" s="500">
        <v>39838.31</v>
      </c>
      <c r="F63" s="501"/>
      <c r="G63" s="501">
        <v>1</v>
      </c>
      <c r="H63" s="501"/>
      <c r="I63" s="500"/>
      <c r="J63" s="663"/>
      <c r="K63" s="663"/>
      <c r="L63" s="663"/>
      <c r="M63" s="502"/>
      <c r="N63" s="504"/>
    </row>
    <row r="64" spans="1:14" ht="14.25" customHeight="1">
      <c r="A64" s="674"/>
      <c r="B64" s="666" t="s">
        <v>793</v>
      </c>
      <c r="C64" s="666"/>
      <c r="D64" s="509"/>
      <c r="E64" s="500">
        <v>171571.35</v>
      </c>
      <c r="F64" s="501"/>
      <c r="G64" s="501"/>
      <c r="H64" s="501">
        <v>1</v>
      </c>
      <c r="I64" s="500"/>
      <c r="J64" s="668"/>
      <c r="K64" s="668"/>
      <c r="L64" s="503"/>
      <c r="M64" s="502"/>
      <c r="N64" s="504">
        <v>171571.35</v>
      </c>
    </row>
    <row r="65" spans="1:14" ht="14.25" customHeight="1">
      <c r="A65" s="674"/>
      <c r="B65" s="661" t="s">
        <v>794</v>
      </c>
      <c r="C65" s="661"/>
      <c r="D65" s="509"/>
      <c r="E65" s="500">
        <v>100000</v>
      </c>
      <c r="F65" s="501"/>
      <c r="G65" s="501"/>
      <c r="H65" s="501">
        <v>1</v>
      </c>
      <c r="I65" s="500"/>
      <c r="J65" s="663"/>
      <c r="K65" s="663"/>
      <c r="L65" s="663"/>
      <c r="M65" s="502">
        <v>100000</v>
      </c>
      <c r="N65" s="504"/>
    </row>
    <row r="66" spans="1:14" ht="14.25" customHeight="1">
      <c r="A66" s="674"/>
      <c r="B66" s="665" t="s">
        <v>795</v>
      </c>
      <c r="C66" s="665"/>
      <c r="D66" s="499"/>
      <c r="E66" s="500">
        <v>1100000</v>
      </c>
      <c r="F66" s="501"/>
      <c r="G66" s="501"/>
      <c r="H66" s="501">
        <v>1</v>
      </c>
      <c r="I66" s="500"/>
      <c r="J66" s="664"/>
      <c r="K66" s="664"/>
      <c r="L66" s="664"/>
      <c r="M66" s="502">
        <v>1100000</v>
      </c>
      <c r="N66" s="504"/>
    </row>
    <row r="67" spans="1:14" ht="14.25" customHeight="1">
      <c r="A67" s="674"/>
      <c r="B67" s="661" t="s">
        <v>796</v>
      </c>
      <c r="C67" s="661"/>
      <c r="D67" s="509"/>
      <c r="E67" s="500">
        <v>130000</v>
      </c>
      <c r="F67" s="501"/>
      <c r="G67" s="501"/>
      <c r="H67" s="501">
        <v>1</v>
      </c>
      <c r="I67" s="500"/>
      <c r="J67" s="663"/>
      <c r="K67" s="663"/>
      <c r="L67" s="663"/>
      <c r="M67" s="502">
        <v>130000</v>
      </c>
      <c r="N67" s="504"/>
    </row>
    <row r="68" spans="1:14" ht="14.25" customHeight="1">
      <c r="A68" s="674"/>
      <c r="B68" s="661" t="s">
        <v>797</v>
      </c>
      <c r="C68" s="661"/>
      <c r="D68" s="499"/>
      <c r="E68" s="500">
        <v>1000000</v>
      </c>
      <c r="F68" s="501"/>
      <c r="G68" s="501"/>
      <c r="H68" s="501">
        <v>1</v>
      </c>
      <c r="I68" s="500"/>
      <c r="J68" s="663"/>
      <c r="K68" s="663"/>
      <c r="L68" s="663"/>
      <c r="M68" s="502">
        <v>1000000</v>
      </c>
      <c r="N68" s="504"/>
    </row>
    <row r="69" spans="1:14" ht="14.25" customHeight="1">
      <c r="A69" s="674"/>
      <c r="B69" s="666" t="s">
        <v>798</v>
      </c>
      <c r="C69" s="666"/>
      <c r="D69" s="509"/>
      <c r="E69" s="500">
        <v>4000000</v>
      </c>
      <c r="F69" s="501"/>
      <c r="G69" s="501"/>
      <c r="H69" s="501">
        <v>1</v>
      </c>
      <c r="I69" s="500"/>
      <c r="J69" s="668"/>
      <c r="K69" s="668"/>
      <c r="L69" s="503"/>
      <c r="M69" s="502">
        <v>4000000</v>
      </c>
      <c r="N69" s="504"/>
    </row>
    <row r="70" spans="1:14" ht="14.25" customHeight="1">
      <c r="A70" s="674"/>
      <c r="B70" s="666" t="s">
        <v>799</v>
      </c>
      <c r="C70" s="666"/>
      <c r="D70" s="509"/>
      <c r="E70" s="500">
        <v>60000</v>
      </c>
      <c r="F70" s="501"/>
      <c r="G70" s="501"/>
      <c r="H70" s="501">
        <v>1</v>
      </c>
      <c r="I70" s="500"/>
      <c r="J70" s="668"/>
      <c r="K70" s="668"/>
      <c r="L70" s="503"/>
      <c r="M70" s="502">
        <v>60000</v>
      </c>
      <c r="N70" s="504"/>
    </row>
    <row r="71" spans="1:14" ht="14.25" customHeight="1">
      <c r="A71" s="674"/>
      <c r="B71" s="666" t="s">
        <v>800</v>
      </c>
      <c r="C71" s="666"/>
      <c r="D71" s="509"/>
      <c r="E71" s="500">
        <v>100000</v>
      </c>
      <c r="F71" s="501"/>
      <c r="G71" s="501"/>
      <c r="H71" s="501">
        <v>1</v>
      </c>
      <c r="I71" s="500"/>
      <c r="J71" s="668"/>
      <c r="K71" s="668"/>
      <c r="L71" s="503"/>
      <c r="M71" s="502">
        <v>100000</v>
      </c>
      <c r="N71" s="504"/>
    </row>
    <row r="72" spans="1:14" ht="12.75">
      <c r="A72" s="674"/>
      <c r="B72" s="675"/>
      <c r="C72" s="675"/>
      <c r="D72" s="509"/>
      <c r="E72" s="500"/>
      <c r="F72" s="501"/>
      <c r="G72" s="501"/>
      <c r="H72" s="501"/>
      <c r="I72" s="500"/>
      <c r="J72" s="668"/>
      <c r="K72" s="668"/>
      <c r="L72" s="503"/>
      <c r="M72" s="502"/>
      <c r="N72" s="504"/>
    </row>
    <row r="73" spans="1:14" ht="12.75">
      <c r="A73" s="674"/>
      <c r="B73" s="661"/>
      <c r="C73" s="661"/>
      <c r="D73" s="509"/>
      <c r="E73" s="500"/>
      <c r="F73" s="501"/>
      <c r="G73" s="501"/>
      <c r="H73" s="501"/>
      <c r="I73" s="500"/>
      <c r="J73" s="663"/>
      <c r="K73" s="663"/>
      <c r="L73" s="663"/>
      <c r="M73" s="502"/>
      <c r="N73" s="504"/>
    </row>
    <row r="74" spans="1:14" ht="14.25" customHeight="1">
      <c r="A74" s="658" t="s">
        <v>801</v>
      </c>
      <c r="B74" s="661" t="s">
        <v>802</v>
      </c>
      <c r="C74" s="661"/>
      <c r="D74" s="509"/>
      <c r="E74" s="500">
        <v>200000</v>
      </c>
      <c r="F74" s="501">
        <v>0.5</v>
      </c>
      <c r="G74" s="501">
        <v>0.5</v>
      </c>
      <c r="H74" s="501"/>
      <c r="I74" s="500"/>
      <c r="J74" s="663"/>
      <c r="K74" s="663"/>
      <c r="L74" s="663"/>
      <c r="M74" s="502"/>
      <c r="N74" s="504"/>
    </row>
    <row r="75" spans="1:14" ht="14.25" customHeight="1">
      <c r="A75" s="658"/>
      <c r="B75" s="661" t="s">
        <v>803</v>
      </c>
      <c r="C75" s="661"/>
      <c r="D75" s="499">
        <v>45096</v>
      </c>
      <c r="E75" s="500">
        <v>124204.99</v>
      </c>
      <c r="F75" s="501"/>
      <c r="G75" s="501">
        <v>1</v>
      </c>
      <c r="H75" s="501"/>
      <c r="I75" s="502"/>
      <c r="J75" s="663"/>
      <c r="K75" s="663"/>
      <c r="L75" s="663"/>
      <c r="M75" s="502"/>
      <c r="N75" s="504"/>
    </row>
    <row r="76" spans="1:14" ht="14.25" customHeight="1">
      <c r="A76" s="658"/>
      <c r="B76" s="661" t="s">
        <v>804</v>
      </c>
      <c r="C76" s="661"/>
      <c r="D76" s="499">
        <v>45040</v>
      </c>
      <c r="E76" s="500">
        <v>182157.3</v>
      </c>
      <c r="F76" s="501"/>
      <c r="G76" s="501">
        <v>1</v>
      </c>
      <c r="H76" s="501"/>
      <c r="I76" s="500"/>
      <c r="J76" s="663"/>
      <c r="K76" s="663"/>
      <c r="L76" s="663"/>
      <c r="M76" s="502"/>
      <c r="N76" s="504"/>
    </row>
    <row r="77" spans="1:14" ht="14.25" customHeight="1">
      <c r="A77" s="658"/>
      <c r="B77" s="661" t="s">
        <v>805</v>
      </c>
      <c r="C77" s="661"/>
      <c r="D77" s="499"/>
      <c r="E77" s="500">
        <v>120000</v>
      </c>
      <c r="F77" s="501"/>
      <c r="G77" s="501"/>
      <c r="H77" s="501">
        <v>1</v>
      </c>
      <c r="I77" s="500"/>
      <c r="J77" s="663"/>
      <c r="K77" s="663"/>
      <c r="L77" s="663"/>
      <c r="M77" s="502">
        <v>120000</v>
      </c>
      <c r="N77" s="504"/>
    </row>
    <row r="78" spans="1:14" ht="12.75">
      <c r="A78" s="658"/>
      <c r="B78" s="670"/>
      <c r="C78" s="670"/>
      <c r="D78" s="508"/>
      <c r="E78" s="510"/>
      <c r="F78" s="489"/>
      <c r="G78" s="489"/>
      <c r="H78" s="489"/>
      <c r="I78" s="510"/>
      <c r="J78" s="673"/>
      <c r="K78" s="673"/>
      <c r="L78" s="673"/>
      <c r="M78" s="512"/>
      <c r="N78" s="513"/>
    </row>
    <row r="79" spans="1:14" ht="12.75">
      <c r="A79" s="658"/>
      <c r="B79" s="670"/>
      <c r="C79" s="670"/>
      <c r="D79" s="508"/>
      <c r="E79" s="510"/>
      <c r="F79" s="489"/>
      <c r="G79" s="489"/>
      <c r="H79" s="489"/>
      <c r="I79" s="510"/>
      <c r="J79" s="673"/>
      <c r="K79" s="673"/>
      <c r="L79" s="673"/>
      <c r="M79" s="512"/>
      <c r="N79" s="513"/>
    </row>
    <row r="80" spans="1:14" ht="12.75">
      <c r="A80" s="658"/>
      <c r="B80" s="670"/>
      <c r="C80" s="670"/>
      <c r="D80" s="508"/>
      <c r="E80" s="510"/>
      <c r="F80" s="489"/>
      <c r="G80" s="489"/>
      <c r="H80" s="489"/>
      <c r="I80" s="510"/>
      <c r="J80" s="673"/>
      <c r="K80" s="673"/>
      <c r="L80" s="673"/>
      <c r="M80" s="512"/>
      <c r="N80" s="513"/>
    </row>
    <row r="81" spans="1:14" ht="12.75">
      <c r="A81" s="658"/>
      <c r="B81" s="670"/>
      <c r="C81" s="670"/>
      <c r="D81" s="508"/>
      <c r="E81" s="510"/>
      <c r="F81" s="489"/>
      <c r="G81" s="489"/>
      <c r="H81" s="489"/>
      <c r="I81" s="510"/>
      <c r="J81" s="673"/>
      <c r="K81" s="673"/>
      <c r="L81" s="673"/>
      <c r="M81" s="512"/>
      <c r="N81" s="513"/>
    </row>
    <row r="82" spans="1:14" ht="14.25" customHeight="1">
      <c r="A82" s="676" t="s">
        <v>806</v>
      </c>
      <c r="B82" s="666" t="s">
        <v>807</v>
      </c>
      <c r="C82" s="666"/>
      <c r="D82" s="499">
        <v>44172</v>
      </c>
      <c r="E82" s="500">
        <v>214798.56</v>
      </c>
      <c r="F82" s="501">
        <v>0.2</v>
      </c>
      <c r="G82" s="501"/>
      <c r="H82" s="501"/>
      <c r="I82" s="500"/>
      <c r="J82" s="663"/>
      <c r="K82" s="663"/>
      <c r="L82" s="663"/>
      <c r="M82" s="502"/>
      <c r="N82" s="504"/>
    </row>
    <row r="83" spans="1:14" ht="14.25" customHeight="1">
      <c r="A83" s="676"/>
      <c r="B83" s="666" t="s">
        <v>808</v>
      </c>
      <c r="C83" s="666"/>
      <c r="D83" s="499">
        <v>44439</v>
      </c>
      <c r="E83" s="500">
        <v>251780.17</v>
      </c>
      <c r="F83" s="501">
        <v>0.2</v>
      </c>
      <c r="G83" s="501"/>
      <c r="H83" s="501"/>
      <c r="I83" s="500"/>
      <c r="J83" s="668"/>
      <c r="K83" s="668"/>
      <c r="L83" s="503"/>
      <c r="M83" s="502"/>
      <c r="N83" s="504"/>
    </row>
    <row r="84" spans="1:14" ht="14.25" customHeight="1">
      <c r="A84" s="676"/>
      <c r="B84" s="661" t="s">
        <v>809</v>
      </c>
      <c r="C84" s="661"/>
      <c r="D84" s="499">
        <v>44572</v>
      </c>
      <c r="E84" s="500">
        <v>270000</v>
      </c>
      <c r="F84" s="501">
        <v>1</v>
      </c>
      <c r="G84" s="501"/>
      <c r="H84" s="501"/>
      <c r="I84" s="500"/>
      <c r="J84" s="663"/>
      <c r="K84" s="663"/>
      <c r="L84" s="663"/>
      <c r="M84" s="502"/>
      <c r="N84" s="504"/>
    </row>
    <row r="85" spans="1:14" ht="14.25" customHeight="1">
      <c r="A85" s="676"/>
      <c r="B85" s="661" t="s">
        <v>810</v>
      </c>
      <c r="C85" s="661"/>
      <c r="D85" s="499">
        <v>44739</v>
      </c>
      <c r="E85" s="500">
        <v>238750</v>
      </c>
      <c r="F85" s="501">
        <v>0.8</v>
      </c>
      <c r="G85" s="501">
        <v>0.2</v>
      </c>
      <c r="H85" s="501"/>
      <c r="I85" s="500"/>
      <c r="J85" s="663"/>
      <c r="K85" s="663"/>
      <c r="L85" s="663"/>
      <c r="M85" s="502"/>
      <c r="N85" s="504">
        <v>238750</v>
      </c>
    </row>
    <row r="86" spans="1:14" ht="14.25" customHeight="1">
      <c r="A86" s="676"/>
      <c r="B86" s="661" t="s">
        <v>811</v>
      </c>
      <c r="C86" s="661"/>
      <c r="D86" s="493">
        <v>45121</v>
      </c>
      <c r="E86" s="494">
        <v>4361423.52</v>
      </c>
      <c r="F86" s="495"/>
      <c r="G86" s="495">
        <v>1</v>
      </c>
      <c r="H86" s="501"/>
      <c r="I86" s="500"/>
      <c r="J86" s="663"/>
      <c r="K86" s="663"/>
      <c r="L86" s="663"/>
      <c r="M86" s="502"/>
      <c r="N86" s="504"/>
    </row>
    <row r="87" spans="1:14" ht="14.25" customHeight="1">
      <c r="A87" s="676"/>
      <c r="B87" s="661" t="s">
        <v>812</v>
      </c>
      <c r="C87" s="661"/>
      <c r="D87" s="499">
        <v>44711</v>
      </c>
      <c r="E87" s="500">
        <v>64335.71</v>
      </c>
      <c r="F87" s="501">
        <v>1</v>
      </c>
      <c r="G87" s="501"/>
      <c r="H87" s="501"/>
      <c r="I87" s="500"/>
      <c r="J87" s="664"/>
      <c r="K87" s="664"/>
      <c r="L87" s="503"/>
      <c r="M87" s="502"/>
      <c r="N87" s="504"/>
    </row>
    <row r="88" spans="1:14" ht="14.25" customHeight="1">
      <c r="A88" s="676"/>
      <c r="B88" s="661" t="s">
        <v>813</v>
      </c>
      <c r="C88" s="661"/>
      <c r="D88" s="509"/>
      <c r="E88" s="500">
        <f>3508341.06+511404.58+196357.66</f>
        <v>4216103.3</v>
      </c>
      <c r="F88" s="501">
        <v>1</v>
      </c>
      <c r="G88" s="501"/>
      <c r="H88" s="501"/>
      <c r="I88" s="500"/>
      <c r="J88" s="664"/>
      <c r="K88" s="664"/>
      <c r="L88" s="503"/>
      <c r="M88" s="502"/>
      <c r="N88" s="504">
        <v>1400000</v>
      </c>
    </row>
    <row r="89" spans="1:14" ht="14.25" customHeight="1">
      <c r="A89" s="676"/>
      <c r="B89" s="661" t="s">
        <v>814</v>
      </c>
      <c r="C89" s="661"/>
      <c r="D89" s="499">
        <v>45040</v>
      </c>
      <c r="E89" s="500">
        <v>295853</v>
      </c>
      <c r="F89" s="501"/>
      <c r="G89" s="501">
        <v>1</v>
      </c>
      <c r="H89" s="501"/>
      <c r="I89" s="500"/>
      <c r="J89" s="664"/>
      <c r="K89" s="664"/>
      <c r="L89" s="503"/>
      <c r="M89" s="502">
        <v>56997</v>
      </c>
      <c r="N89" s="504">
        <v>238856</v>
      </c>
    </row>
    <row r="90" spans="1:14" ht="14.25" customHeight="1">
      <c r="A90" s="676"/>
      <c r="B90" s="661" t="s">
        <v>815</v>
      </c>
      <c r="C90" s="661"/>
      <c r="D90" s="499">
        <v>45152</v>
      </c>
      <c r="E90" s="500">
        <v>399205</v>
      </c>
      <c r="F90" s="501"/>
      <c r="G90" s="501">
        <v>1</v>
      </c>
      <c r="H90" s="501"/>
      <c r="I90" s="500"/>
      <c r="J90" s="664"/>
      <c r="K90" s="664"/>
      <c r="L90" s="503"/>
      <c r="M90" s="502">
        <v>15000</v>
      </c>
      <c r="N90" s="504">
        <v>384205</v>
      </c>
    </row>
    <row r="91" spans="1:14" ht="14.25" customHeight="1">
      <c r="A91" s="676"/>
      <c r="B91" s="661" t="s">
        <v>816</v>
      </c>
      <c r="C91" s="661"/>
      <c r="D91" s="499">
        <v>45040</v>
      </c>
      <c r="E91" s="500">
        <v>300505.57</v>
      </c>
      <c r="F91" s="501"/>
      <c r="G91" s="501">
        <v>1</v>
      </c>
      <c r="H91" s="501"/>
      <c r="I91" s="500"/>
      <c r="J91" s="664"/>
      <c r="K91" s="664"/>
      <c r="L91" s="503"/>
      <c r="M91" s="502">
        <v>61649.57</v>
      </c>
      <c r="N91" s="504">
        <v>238856</v>
      </c>
    </row>
    <row r="92" spans="1:14" ht="14.25" customHeight="1">
      <c r="A92" s="676"/>
      <c r="B92" s="661" t="s">
        <v>817</v>
      </c>
      <c r="C92" s="661"/>
      <c r="D92" s="499">
        <v>45152</v>
      </c>
      <c r="E92" s="500">
        <v>1085095</v>
      </c>
      <c r="F92" s="501"/>
      <c r="G92" s="501">
        <v>0.8</v>
      </c>
      <c r="H92" s="501">
        <v>0.2</v>
      </c>
      <c r="I92" s="500"/>
      <c r="J92" s="664"/>
      <c r="K92" s="664"/>
      <c r="L92" s="503"/>
      <c r="M92" s="502">
        <v>1095</v>
      </c>
      <c r="N92" s="504">
        <v>1084000</v>
      </c>
    </row>
    <row r="93" spans="1:14" ht="36" customHeight="1">
      <c r="A93" s="676"/>
      <c r="B93" s="661" t="s">
        <v>818</v>
      </c>
      <c r="C93" s="661"/>
      <c r="D93" s="499">
        <v>44987</v>
      </c>
      <c r="E93" s="500">
        <v>1752951.07</v>
      </c>
      <c r="F93" s="501"/>
      <c r="G93" s="501">
        <v>1</v>
      </c>
      <c r="H93" s="501"/>
      <c r="I93" s="500"/>
      <c r="J93" s="663"/>
      <c r="K93" s="663"/>
      <c r="L93" s="663"/>
      <c r="M93" s="502"/>
      <c r="N93" s="504"/>
    </row>
    <row r="94" spans="1:14" ht="14.25" customHeight="1">
      <c r="A94" s="676"/>
      <c r="B94" s="666" t="s">
        <v>819</v>
      </c>
      <c r="C94" s="666"/>
      <c r="D94" s="509"/>
      <c r="E94" s="500">
        <v>300000</v>
      </c>
      <c r="F94" s="501"/>
      <c r="G94" s="501">
        <v>1</v>
      </c>
      <c r="H94" s="501"/>
      <c r="I94" s="500"/>
      <c r="J94" s="668"/>
      <c r="K94" s="668"/>
      <c r="L94" s="503"/>
      <c r="M94" s="502"/>
      <c r="N94" s="504"/>
    </row>
    <row r="95" spans="1:14" ht="24.75" customHeight="1">
      <c r="A95" s="676"/>
      <c r="B95" s="666" t="s">
        <v>820</v>
      </c>
      <c r="C95" s="666"/>
      <c r="D95" s="515"/>
      <c r="E95" s="494">
        <v>63000</v>
      </c>
      <c r="F95" s="495"/>
      <c r="G95" s="495"/>
      <c r="H95" s="495">
        <v>1</v>
      </c>
      <c r="I95" s="494"/>
      <c r="J95" s="677"/>
      <c r="K95" s="677"/>
      <c r="L95" s="497"/>
      <c r="M95" s="496">
        <v>63000</v>
      </c>
      <c r="N95" s="498"/>
    </row>
    <row r="96" spans="1:14" ht="14.25" customHeight="1">
      <c r="A96" s="676"/>
      <c r="B96" s="672" t="s">
        <v>821</v>
      </c>
      <c r="C96" s="672"/>
      <c r="D96" s="499"/>
      <c r="E96" s="500">
        <v>250000</v>
      </c>
      <c r="F96" s="501"/>
      <c r="G96" s="501"/>
      <c r="H96" s="501">
        <v>1</v>
      </c>
      <c r="I96" s="500"/>
      <c r="J96" s="664"/>
      <c r="K96" s="664"/>
      <c r="L96" s="503"/>
      <c r="M96" s="502">
        <v>250000</v>
      </c>
      <c r="N96" s="504"/>
    </row>
    <row r="97" spans="1:14" ht="14.25" customHeight="1">
      <c r="A97" s="676"/>
      <c r="B97" s="672" t="s">
        <v>822</v>
      </c>
      <c r="C97" s="672"/>
      <c r="D97" s="508"/>
      <c r="E97" s="510">
        <v>730000</v>
      </c>
      <c r="F97" s="489"/>
      <c r="G97" s="489"/>
      <c r="H97" s="489">
        <v>1</v>
      </c>
      <c r="I97" s="510"/>
      <c r="J97" s="671"/>
      <c r="K97" s="671"/>
      <c r="L97" s="511"/>
      <c r="M97" s="512">
        <v>730000</v>
      </c>
      <c r="N97" s="504"/>
    </row>
    <row r="98" spans="1:14" ht="14.25" customHeight="1">
      <c r="A98" s="676"/>
      <c r="B98" s="672" t="s">
        <v>823</v>
      </c>
      <c r="C98" s="672"/>
      <c r="D98" s="508"/>
      <c r="E98" s="510">
        <v>330000</v>
      </c>
      <c r="F98" s="489"/>
      <c r="G98" s="489"/>
      <c r="H98" s="489">
        <v>1</v>
      </c>
      <c r="I98" s="510"/>
      <c r="J98" s="671"/>
      <c r="K98" s="671"/>
      <c r="L98" s="511"/>
      <c r="M98" s="512">
        <v>330000</v>
      </c>
      <c r="N98" s="513"/>
    </row>
    <row r="99" spans="1:14" ht="14.25" customHeight="1">
      <c r="A99" s="676"/>
      <c r="B99" s="672" t="s">
        <v>824</v>
      </c>
      <c r="C99" s="672"/>
      <c r="D99" s="508"/>
      <c r="E99" s="510">
        <v>1150000</v>
      </c>
      <c r="F99" s="489"/>
      <c r="G99" s="489"/>
      <c r="H99" s="489">
        <v>1</v>
      </c>
      <c r="I99" s="510"/>
      <c r="J99" s="671"/>
      <c r="K99" s="671"/>
      <c r="L99" s="511"/>
      <c r="M99" s="512">
        <v>1150000</v>
      </c>
      <c r="N99" s="513"/>
    </row>
    <row r="100" spans="1:14" ht="14.25" customHeight="1">
      <c r="A100" s="676"/>
      <c r="B100" s="661" t="s">
        <v>811</v>
      </c>
      <c r="C100" s="661"/>
      <c r="D100" s="493"/>
      <c r="E100" s="494">
        <v>4500000</v>
      </c>
      <c r="F100" s="495"/>
      <c r="G100" s="495"/>
      <c r="H100" s="501">
        <v>1</v>
      </c>
      <c r="I100" s="510"/>
      <c r="J100" s="678"/>
      <c r="K100" s="678"/>
      <c r="L100" s="511"/>
      <c r="M100" s="512">
        <v>4500000</v>
      </c>
      <c r="N100" s="513"/>
    </row>
    <row r="101" spans="1:14" ht="14.25" customHeight="1">
      <c r="A101" s="676"/>
      <c r="B101" s="661" t="s">
        <v>825</v>
      </c>
      <c r="C101" s="661"/>
      <c r="D101" s="509"/>
      <c r="E101" s="500">
        <v>100000</v>
      </c>
      <c r="F101" s="501"/>
      <c r="G101" s="501"/>
      <c r="H101" s="501">
        <v>1</v>
      </c>
      <c r="I101" s="510"/>
      <c r="J101" s="678"/>
      <c r="K101" s="678"/>
      <c r="L101" s="511"/>
      <c r="M101" s="512">
        <v>100000</v>
      </c>
      <c r="N101" s="513"/>
    </row>
    <row r="102" spans="1:14" ht="12.75">
      <c r="A102" s="676"/>
      <c r="B102" s="672"/>
      <c r="C102" s="672"/>
      <c r="D102" s="517"/>
      <c r="E102" s="518"/>
      <c r="F102" s="519"/>
      <c r="G102" s="519"/>
      <c r="H102" s="519"/>
      <c r="I102" s="520"/>
      <c r="J102" s="671"/>
      <c r="K102" s="671"/>
      <c r="L102" s="511"/>
      <c r="M102" s="512"/>
      <c r="N102" s="513"/>
    </row>
    <row r="103" spans="1:14" ht="12.75">
      <c r="A103" s="676"/>
      <c r="B103" s="672"/>
      <c r="C103" s="672"/>
      <c r="D103" s="508"/>
      <c r="E103" s="510"/>
      <c r="F103" s="489"/>
      <c r="G103" s="489"/>
      <c r="H103" s="489"/>
      <c r="I103" s="510"/>
      <c r="J103" s="671"/>
      <c r="K103" s="671"/>
      <c r="L103" s="511"/>
      <c r="M103" s="512"/>
      <c r="N103" s="513"/>
    </row>
    <row r="104" spans="1:14" ht="12.75">
      <c r="A104" s="676"/>
      <c r="B104" s="672"/>
      <c r="C104" s="672"/>
      <c r="D104" s="508"/>
      <c r="E104" s="510"/>
      <c r="F104" s="489"/>
      <c r="G104" s="489"/>
      <c r="H104" s="489"/>
      <c r="I104" s="510"/>
      <c r="J104" s="671"/>
      <c r="K104" s="671"/>
      <c r="L104" s="511"/>
      <c r="M104" s="512"/>
      <c r="N104" s="513"/>
    </row>
    <row r="105" spans="1:14" ht="12.75">
      <c r="A105" s="676"/>
      <c r="B105" s="672"/>
      <c r="C105" s="672"/>
      <c r="D105" s="508"/>
      <c r="E105" s="510"/>
      <c r="F105" s="489"/>
      <c r="G105" s="489"/>
      <c r="H105" s="489"/>
      <c r="I105" s="510"/>
      <c r="J105" s="671"/>
      <c r="K105" s="671"/>
      <c r="L105" s="511"/>
      <c r="M105" s="512"/>
      <c r="N105" s="513"/>
    </row>
    <row r="106" spans="1:14" ht="12.75">
      <c r="A106" s="676"/>
      <c r="B106" s="672"/>
      <c r="C106" s="672"/>
      <c r="D106" s="508"/>
      <c r="E106" s="510"/>
      <c r="F106" s="489"/>
      <c r="G106" s="489"/>
      <c r="H106" s="489"/>
      <c r="I106" s="510"/>
      <c r="J106" s="671"/>
      <c r="K106" s="671"/>
      <c r="L106" s="511"/>
      <c r="M106" s="512"/>
      <c r="N106" s="513"/>
    </row>
    <row r="107" spans="1:14" ht="12.75">
      <c r="A107" s="676"/>
      <c r="B107" s="672"/>
      <c r="C107" s="672"/>
      <c r="D107" s="508"/>
      <c r="E107" s="510"/>
      <c r="F107" s="489"/>
      <c r="G107" s="489"/>
      <c r="H107" s="489"/>
      <c r="I107" s="510"/>
      <c r="J107" s="671"/>
      <c r="K107" s="671"/>
      <c r="L107" s="511"/>
      <c r="M107" s="512"/>
      <c r="N107" s="513"/>
    </row>
    <row r="108" spans="1:14" ht="12.75">
      <c r="A108" s="676"/>
      <c r="B108" s="672"/>
      <c r="C108" s="672"/>
      <c r="D108" s="508"/>
      <c r="E108" s="510"/>
      <c r="F108" s="489"/>
      <c r="G108" s="489"/>
      <c r="H108" s="489"/>
      <c r="I108" s="510"/>
      <c r="J108" s="671"/>
      <c r="K108" s="671"/>
      <c r="L108" s="511"/>
      <c r="M108" s="512"/>
      <c r="N108" s="513"/>
    </row>
    <row r="109" spans="1:14" ht="12.75">
      <c r="A109" s="676"/>
      <c r="B109" s="672"/>
      <c r="C109" s="672"/>
      <c r="D109" s="508"/>
      <c r="E109" s="510"/>
      <c r="F109" s="489"/>
      <c r="G109" s="489"/>
      <c r="H109" s="489"/>
      <c r="I109" s="510"/>
      <c r="J109" s="671"/>
      <c r="K109" s="671"/>
      <c r="L109" s="511"/>
      <c r="M109" s="512"/>
      <c r="N109" s="513"/>
    </row>
    <row r="110" spans="1:14" ht="12.75">
      <c r="A110" s="676"/>
      <c r="B110" s="672"/>
      <c r="C110" s="672"/>
      <c r="D110" s="508"/>
      <c r="E110" s="510"/>
      <c r="F110" s="489"/>
      <c r="G110" s="489"/>
      <c r="H110" s="489"/>
      <c r="I110" s="510"/>
      <c r="J110" s="671"/>
      <c r="K110" s="671"/>
      <c r="L110" s="511"/>
      <c r="M110" s="512"/>
      <c r="N110" s="513"/>
    </row>
    <row r="111" spans="1:14" ht="12.75">
      <c r="A111" s="676"/>
      <c r="B111" s="672"/>
      <c r="C111" s="672"/>
      <c r="D111" s="508"/>
      <c r="E111" s="510"/>
      <c r="F111" s="489"/>
      <c r="G111" s="489"/>
      <c r="H111" s="489"/>
      <c r="I111" s="510"/>
      <c r="J111" s="671"/>
      <c r="K111" s="671"/>
      <c r="L111" s="511"/>
      <c r="M111" s="512"/>
      <c r="N111" s="513"/>
    </row>
    <row r="112" spans="1:14" ht="12.75">
      <c r="A112" s="676"/>
      <c r="B112" s="672"/>
      <c r="C112" s="672"/>
      <c r="D112" s="508"/>
      <c r="E112" s="510"/>
      <c r="F112" s="489"/>
      <c r="G112" s="489"/>
      <c r="H112" s="489"/>
      <c r="I112" s="510"/>
      <c r="J112" s="671"/>
      <c r="K112" s="671"/>
      <c r="L112" s="511"/>
      <c r="M112" s="512"/>
      <c r="N112" s="513"/>
    </row>
    <row r="113" spans="1:14" ht="12.75">
      <c r="A113" s="676"/>
      <c r="B113" s="672"/>
      <c r="C113" s="672"/>
      <c r="D113" s="508"/>
      <c r="E113" s="510"/>
      <c r="F113" s="489"/>
      <c r="G113" s="489"/>
      <c r="H113" s="489"/>
      <c r="I113" s="510"/>
      <c r="J113" s="671"/>
      <c r="K113" s="671"/>
      <c r="L113" s="511"/>
      <c r="M113" s="512"/>
      <c r="N113" s="513"/>
    </row>
    <row r="114" spans="1:14" ht="12.75">
      <c r="A114" s="676"/>
      <c r="B114" s="672"/>
      <c r="C114" s="672"/>
      <c r="D114" s="508"/>
      <c r="E114" s="510"/>
      <c r="F114" s="489"/>
      <c r="G114" s="489"/>
      <c r="H114" s="489"/>
      <c r="I114" s="510"/>
      <c r="J114" s="671"/>
      <c r="K114" s="671"/>
      <c r="L114" s="511"/>
      <c r="M114" s="512"/>
      <c r="N114" s="513"/>
    </row>
    <row r="115" spans="1:14" ht="12.75">
      <c r="A115" s="676"/>
      <c r="B115" s="672"/>
      <c r="C115" s="672"/>
      <c r="D115" s="508"/>
      <c r="E115" s="510"/>
      <c r="F115" s="489"/>
      <c r="G115" s="489"/>
      <c r="H115" s="489"/>
      <c r="I115" s="510"/>
      <c r="J115" s="671"/>
      <c r="K115" s="671"/>
      <c r="L115" s="511"/>
      <c r="M115" s="512"/>
      <c r="N115" s="513"/>
    </row>
    <row r="116" spans="1:14" ht="14.25" customHeight="1">
      <c r="A116" s="679" t="s">
        <v>826</v>
      </c>
      <c r="B116" s="670" t="s">
        <v>827</v>
      </c>
      <c r="C116" s="670"/>
      <c r="D116" s="521">
        <v>45131</v>
      </c>
      <c r="E116" s="510">
        <v>6540000</v>
      </c>
      <c r="F116" s="489"/>
      <c r="G116" s="489">
        <v>0.3</v>
      </c>
      <c r="H116" s="489">
        <v>0.7</v>
      </c>
      <c r="I116" s="510">
        <v>500000</v>
      </c>
      <c r="J116" s="673"/>
      <c r="K116" s="673"/>
      <c r="L116" s="673"/>
      <c r="M116" s="512"/>
      <c r="N116" s="513"/>
    </row>
    <row r="117" spans="1:14" ht="14.25" customHeight="1">
      <c r="A117" s="679"/>
      <c r="B117" s="670" t="s">
        <v>828</v>
      </c>
      <c r="C117" s="670"/>
      <c r="D117" s="508"/>
      <c r="E117" s="500">
        <v>15000</v>
      </c>
      <c r="F117" s="489"/>
      <c r="G117" s="489">
        <v>1</v>
      </c>
      <c r="H117" s="489"/>
      <c r="I117" s="510"/>
      <c r="J117" s="678"/>
      <c r="K117" s="678"/>
      <c r="L117" s="678"/>
      <c r="M117" s="512"/>
      <c r="N117" s="513"/>
    </row>
    <row r="118" spans="1:14" ht="14.25" customHeight="1">
      <c r="A118" s="679"/>
      <c r="B118" s="670" t="s">
        <v>829</v>
      </c>
      <c r="C118" s="670"/>
      <c r="D118" s="521">
        <v>44761</v>
      </c>
      <c r="E118" s="500">
        <v>107000</v>
      </c>
      <c r="F118" s="489">
        <v>1</v>
      </c>
      <c r="G118" s="489"/>
      <c r="H118" s="489"/>
      <c r="I118" s="510"/>
      <c r="J118" s="678"/>
      <c r="K118" s="678"/>
      <c r="L118" s="678"/>
      <c r="M118" s="512"/>
      <c r="N118" s="513"/>
    </row>
    <row r="119" spans="1:14" ht="14.25" customHeight="1">
      <c r="A119" s="679"/>
      <c r="B119" s="670" t="s">
        <v>830</v>
      </c>
      <c r="C119" s="670"/>
      <c r="D119" s="508"/>
      <c r="E119" s="500">
        <v>75000</v>
      </c>
      <c r="F119" s="489">
        <v>0.7</v>
      </c>
      <c r="G119" s="489"/>
      <c r="H119" s="489"/>
      <c r="I119" s="510"/>
      <c r="J119" s="678"/>
      <c r="K119" s="678"/>
      <c r="L119" s="678"/>
      <c r="M119" s="512"/>
      <c r="N119" s="513"/>
    </row>
    <row r="120" spans="1:14" ht="14.25" customHeight="1">
      <c r="A120" s="679"/>
      <c r="B120" s="661" t="s">
        <v>831</v>
      </c>
      <c r="C120" s="661"/>
      <c r="D120" s="515"/>
      <c r="E120" s="494">
        <v>60000</v>
      </c>
      <c r="F120" s="495"/>
      <c r="G120" s="495"/>
      <c r="H120" s="495">
        <v>1</v>
      </c>
      <c r="I120" s="494"/>
      <c r="J120" s="680"/>
      <c r="K120" s="680"/>
      <c r="L120" s="680"/>
      <c r="M120" s="496">
        <v>60000</v>
      </c>
      <c r="N120" s="498"/>
    </row>
    <row r="121" spans="1:14" ht="14.25" customHeight="1">
      <c r="A121" s="679"/>
      <c r="B121" s="661" t="s">
        <v>832</v>
      </c>
      <c r="C121" s="661"/>
      <c r="D121" s="515"/>
      <c r="E121" s="494">
        <v>112000</v>
      </c>
      <c r="F121" s="495"/>
      <c r="G121" s="495"/>
      <c r="H121" s="495">
        <v>1</v>
      </c>
      <c r="I121" s="494"/>
      <c r="J121" s="680"/>
      <c r="K121" s="680"/>
      <c r="L121" s="680"/>
      <c r="M121" s="496">
        <v>112000</v>
      </c>
      <c r="N121" s="498"/>
    </row>
    <row r="122" spans="1:14" ht="14.25" customHeight="1">
      <c r="A122" s="679"/>
      <c r="B122" s="670" t="s">
        <v>833</v>
      </c>
      <c r="C122" s="670"/>
      <c r="D122" s="508"/>
      <c r="E122" s="510">
        <v>150000</v>
      </c>
      <c r="F122" s="489"/>
      <c r="G122" s="489"/>
      <c r="H122" s="489">
        <v>1</v>
      </c>
      <c r="I122" s="510"/>
      <c r="J122" s="678"/>
      <c r="K122" s="678"/>
      <c r="L122" s="516"/>
      <c r="M122" s="512">
        <v>150000</v>
      </c>
      <c r="N122" s="513"/>
    </row>
    <row r="123" spans="1:14" ht="14.25" customHeight="1">
      <c r="A123" s="679"/>
      <c r="B123" s="670" t="s">
        <v>834</v>
      </c>
      <c r="C123" s="670"/>
      <c r="D123" s="508"/>
      <c r="E123" s="510">
        <v>300000</v>
      </c>
      <c r="F123" s="489"/>
      <c r="G123" s="489"/>
      <c r="H123" s="489">
        <v>1</v>
      </c>
      <c r="I123" s="510"/>
      <c r="J123" s="673"/>
      <c r="K123" s="673"/>
      <c r="L123" s="673"/>
      <c r="M123" s="512"/>
      <c r="N123" s="513">
        <v>300000</v>
      </c>
    </row>
    <row r="124" spans="1:14" ht="12.75">
      <c r="A124" s="679"/>
      <c r="B124" s="670"/>
      <c r="C124" s="670"/>
      <c r="D124" s="508"/>
      <c r="E124" s="510"/>
      <c r="F124" s="489"/>
      <c r="G124" s="489"/>
      <c r="H124" s="489"/>
      <c r="I124" s="510"/>
      <c r="J124" s="678"/>
      <c r="K124" s="678"/>
      <c r="L124" s="516"/>
      <c r="M124" s="512"/>
      <c r="N124" s="513"/>
    </row>
    <row r="125" spans="1:14" ht="12.75">
      <c r="A125" s="679"/>
      <c r="B125" s="670"/>
      <c r="C125" s="670"/>
      <c r="D125" s="508"/>
      <c r="E125" s="510"/>
      <c r="F125" s="489"/>
      <c r="G125" s="489"/>
      <c r="H125" s="489"/>
      <c r="I125" s="510"/>
      <c r="J125" s="678"/>
      <c r="K125" s="678"/>
      <c r="L125" s="516"/>
      <c r="M125" s="512"/>
      <c r="N125" s="513"/>
    </row>
    <row r="126" spans="1:14" ht="12.75">
      <c r="A126" s="679"/>
      <c r="B126" s="670"/>
      <c r="C126" s="670"/>
      <c r="D126" s="508"/>
      <c r="E126" s="510"/>
      <c r="F126" s="489"/>
      <c r="G126" s="489"/>
      <c r="H126" s="489"/>
      <c r="I126" s="510"/>
      <c r="J126" s="678"/>
      <c r="K126" s="678"/>
      <c r="L126" s="516"/>
      <c r="M126" s="512"/>
      <c r="N126" s="513"/>
    </row>
    <row r="127" spans="1:14" ht="12.75">
      <c r="A127" s="679"/>
      <c r="B127" s="670"/>
      <c r="C127" s="670"/>
      <c r="D127" s="508"/>
      <c r="E127" s="510"/>
      <c r="F127" s="489"/>
      <c r="G127" s="489"/>
      <c r="H127" s="489"/>
      <c r="I127" s="510"/>
      <c r="J127" s="678"/>
      <c r="K127" s="678"/>
      <c r="L127" s="516"/>
      <c r="M127" s="512"/>
      <c r="N127" s="513"/>
    </row>
    <row r="128" spans="1:14" ht="12.75">
      <c r="A128" s="679"/>
      <c r="B128" s="670"/>
      <c r="C128" s="670"/>
      <c r="D128" s="508"/>
      <c r="E128" s="510"/>
      <c r="F128" s="489"/>
      <c r="G128" s="489"/>
      <c r="H128" s="489"/>
      <c r="I128" s="510"/>
      <c r="J128" s="678"/>
      <c r="K128" s="678"/>
      <c r="L128" s="516"/>
      <c r="M128" s="512"/>
      <c r="N128" s="513"/>
    </row>
    <row r="129" spans="1:14" ht="12.75">
      <c r="A129" s="679"/>
      <c r="B129" s="670"/>
      <c r="C129" s="670"/>
      <c r="D129" s="508"/>
      <c r="E129" s="510"/>
      <c r="F129" s="489"/>
      <c r="G129" s="489"/>
      <c r="H129" s="489"/>
      <c r="I129" s="510"/>
      <c r="J129" s="678"/>
      <c r="K129" s="678"/>
      <c r="L129" s="678"/>
      <c r="M129" s="512"/>
      <c r="N129" s="513"/>
    </row>
    <row r="130" spans="1:14" ht="14.25" customHeight="1">
      <c r="A130" s="681" t="s">
        <v>835</v>
      </c>
      <c r="B130" s="661" t="s">
        <v>836</v>
      </c>
      <c r="C130" s="661"/>
      <c r="D130" s="499">
        <v>44823</v>
      </c>
      <c r="E130" s="500">
        <v>193323.09</v>
      </c>
      <c r="F130" s="501">
        <v>0.8</v>
      </c>
      <c r="G130" s="501">
        <v>0.2</v>
      </c>
      <c r="H130" s="501"/>
      <c r="I130" s="502"/>
      <c r="J130" s="663"/>
      <c r="K130" s="663"/>
      <c r="L130" s="663"/>
      <c r="M130" s="502">
        <f>E130</f>
        <v>193323.09</v>
      </c>
      <c r="N130" s="504"/>
    </row>
    <row r="131" spans="1:14" ht="14.25" customHeight="1">
      <c r="A131" s="681"/>
      <c r="B131" s="670" t="s">
        <v>837</v>
      </c>
      <c r="C131" s="670"/>
      <c r="D131" s="521">
        <v>44680</v>
      </c>
      <c r="E131" s="510">
        <v>950000</v>
      </c>
      <c r="F131" s="489">
        <v>1</v>
      </c>
      <c r="G131" s="489"/>
      <c r="H131" s="489"/>
      <c r="I131" s="512"/>
      <c r="J131" s="678"/>
      <c r="K131" s="678"/>
      <c r="L131" s="678"/>
      <c r="M131" s="512"/>
      <c r="N131" s="513"/>
    </row>
    <row r="132" spans="1:14" ht="14.25" customHeight="1">
      <c r="A132" s="681"/>
      <c r="B132" s="670" t="s">
        <v>838</v>
      </c>
      <c r="C132" s="670"/>
      <c r="D132" s="508"/>
      <c r="E132" s="510">
        <v>45000</v>
      </c>
      <c r="F132" s="489"/>
      <c r="G132" s="489">
        <v>1</v>
      </c>
      <c r="H132" s="489"/>
      <c r="I132" s="510"/>
      <c r="J132" s="678"/>
      <c r="K132" s="678"/>
      <c r="L132" s="516"/>
      <c r="M132" s="512">
        <v>45000</v>
      </c>
      <c r="N132" s="513"/>
    </row>
    <row r="133" spans="1:14" ht="14.25" customHeight="1">
      <c r="A133" s="681"/>
      <c r="B133" s="670" t="s">
        <v>839</v>
      </c>
      <c r="C133" s="670"/>
      <c r="D133" s="508"/>
      <c r="E133" s="510">
        <v>50000</v>
      </c>
      <c r="F133" s="489"/>
      <c r="G133" s="489"/>
      <c r="H133" s="489">
        <v>1</v>
      </c>
      <c r="I133" s="510"/>
      <c r="J133" s="673"/>
      <c r="K133" s="673"/>
      <c r="L133" s="673"/>
      <c r="M133" s="512">
        <v>50000</v>
      </c>
      <c r="N133" s="513"/>
    </row>
    <row r="134" spans="1:14" ht="14.25" customHeight="1">
      <c r="A134" s="681"/>
      <c r="B134" s="670" t="s">
        <v>840</v>
      </c>
      <c r="C134" s="670"/>
      <c r="D134" s="508"/>
      <c r="E134" s="510"/>
      <c r="F134" s="489"/>
      <c r="G134" s="489">
        <v>0.5</v>
      </c>
      <c r="H134" s="489">
        <v>0.5</v>
      </c>
      <c r="I134" s="510">
        <v>150000</v>
      </c>
      <c r="J134" s="678"/>
      <c r="K134" s="678"/>
      <c r="L134" s="516"/>
      <c r="M134" s="512"/>
      <c r="N134" s="513"/>
    </row>
    <row r="135" spans="1:14" ht="12.75">
      <c r="A135" s="681"/>
      <c r="B135" s="670"/>
      <c r="C135" s="670"/>
      <c r="D135" s="508"/>
      <c r="E135" s="510"/>
      <c r="F135" s="489"/>
      <c r="G135" s="489"/>
      <c r="H135" s="489"/>
      <c r="I135" s="510"/>
      <c r="J135" s="678"/>
      <c r="K135" s="678"/>
      <c r="L135" s="516"/>
      <c r="M135" s="512"/>
      <c r="N135" s="513"/>
    </row>
    <row r="136" spans="1:14" ht="12.75">
      <c r="A136" s="681"/>
      <c r="B136" s="670"/>
      <c r="C136" s="670"/>
      <c r="D136" s="508"/>
      <c r="E136" s="510"/>
      <c r="F136" s="489"/>
      <c r="G136" s="489"/>
      <c r="H136" s="489"/>
      <c r="I136" s="510"/>
      <c r="J136" s="678"/>
      <c r="K136" s="678"/>
      <c r="L136" s="516"/>
      <c r="M136" s="512"/>
      <c r="N136" s="513"/>
    </row>
    <row r="137" spans="1:14" ht="12.75">
      <c r="A137" s="681"/>
      <c r="B137" s="670"/>
      <c r="C137" s="670"/>
      <c r="D137" s="508"/>
      <c r="E137" s="510"/>
      <c r="F137" s="489"/>
      <c r="G137" s="489"/>
      <c r="H137" s="489"/>
      <c r="I137" s="510"/>
      <c r="J137" s="678"/>
      <c r="K137" s="678"/>
      <c r="L137" s="516"/>
      <c r="M137" s="512"/>
      <c r="N137" s="513"/>
    </row>
    <row r="138" spans="1:14" ht="12.75">
      <c r="A138" s="681"/>
      <c r="B138" s="670"/>
      <c r="C138" s="670"/>
      <c r="D138" s="508"/>
      <c r="E138" s="510"/>
      <c r="F138" s="489"/>
      <c r="G138" s="489"/>
      <c r="H138" s="489"/>
      <c r="I138" s="510"/>
      <c r="J138" s="678"/>
      <c r="K138" s="678"/>
      <c r="L138" s="678"/>
      <c r="M138" s="512"/>
      <c r="N138" s="513"/>
    </row>
    <row r="139" spans="1:14" ht="12.75">
      <c r="A139" s="681"/>
      <c r="B139" s="682"/>
      <c r="C139" s="682"/>
      <c r="D139" s="508"/>
      <c r="E139" s="510"/>
      <c r="F139" s="489"/>
      <c r="G139" s="489"/>
      <c r="H139" s="489"/>
      <c r="I139" s="510"/>
      <c r="J139" s="671"/>
      <c r="K139" s="671"/>
      <c r="L139" s="516"/>
      <c r="M139" s="512"/>
      <c r="N139" s="513"/>
    </row>
    <row r="140" spans="1:14" ht="12.75">
      <c r="A140" s="486"/>
      <c r="B140" s="683"/>
      <c r="C140" s="683"/>
      <c r="D140" s="508"/>
      <c r="E140" s="510"/>
      <c r="F140" s="489"/>
      <c r="G140" s="489"/>
      <c r="H140" s="489"/>
      <c r="I140" s="510"/>
      <c r="J140" s="678"/>
      <c r="K140" s="678"/>
      <c r="L140" s="678"/>
      <c r="M140" s="512"/>
      <c r="N140" s="513"/>
    </row>
    <row r="141" spans="1:14" ht="14.25" customHeight="1">
      <c r="A141" s="486"/>
      <c r="B141" s="684" t="s">
        <v>841</v>
      </c>
      <c r="C141" s="684"/>
      <c r="D141" s="684"/>
      <c r="E141" s="684"/>
      <c r="F141" s="684"/>
      <c r="G141" s="684"/>
      <c r="H141" s="684"/>
      <c r="I141" s="522">
        <f>SUM(I10:I140)</f>
        <v>3587404.2199999997</v>
      </c>
      <c r="J141" s="685">
        <v>0</v>
      </c>
      <c r="K141" s="685"/>
      <c r="L141" s="685"/>
      <c r="M141" s="523">
        <f>SUM(M10:M140)</f>
        <v>17390064.66</v>
      </c>
      <c r="N141" s="513">
        <f>SUM(N10:N140)</f>
        <v>5570982.86</v>
      </c>
    </row>
  </sheetData>
  <sheetProtection selectLockedCells="1" selectUnlockedCells="1"/>
  <mergeCells count="289">
    <mergeCell ref="B139:C139"/>
    <mergeCell ref="J139:K139"/>
    <mergeCell ref="B140:C140"/>
    <mergeCell ref="J140:L140"/>
    <mergeCell ref="B141:H141"/>
    <mergeCell ref="J141:L141"/>
    <mergeCell ref="B136:C136"/>
    <mergeCell ref="J136:K136"/>
    <mergeCell ref="B137:C137"/>
    <mergeCell ref="J137:K137"/>
    <mergeCell ref="B138:C138"/>
    <mergeCell ref="J138:L138"/>
    <mergeCell ref="J132:K132"/>
    <mergeCell ref="B133:C133"/>
    <mergeCell ref="J133:L133"/>
    <mergeCell ref="B134:C134"/>
    <mergeCell ref="J134:K134"/>
    <mergeCell ref="B135:C135"/>
    <mergeCell ref="J135:K135"/>
    <mergeCell ref="B128:C128"/>
    <mergeCell ref="J128:K128"/>
    <mergeCell ref="B129:C129"/>
    <mergeCell ref="J129:L129"/>
    <mergeCell ref="A130:A139"/>
    <mergeCell ref="B130:C130"/>
    <mergeCell ref="J130:L130"/>
    <mergeCell ref="B131:C131"/>
    <mergeCell ref="J131:L131"/>
    <mergeCell ref="B132:C132"/>
    <mergeCell ref="B125:C125"/>
    <mergeCell ref="J125:K125"/>
    <mergeCell ref="B126:C126"/>
    <mergeCell ref="J126:K126"/>
    <mergeCell ref="B127:C127"/>
    <mergeCell ref="J127:K127"/>
    <mergeCell ref="B122:C122"/>
    <mergeCell ref="J122:K122"/>
    <mergeCell ref="B123:C123"/>
    <mergeCell ref="J123:L123"/>
    <mergeCell ref="B124:C124"/>
    <mergeCell ref="J124:K124"/>
    <mergeCell ref="J118:L118"/>
    <mergeCell ref="B119:C119"/>
    <mergeCell ref="J119:L119"/>
    <mergeCell ref="B120:C120"/>
    <mergeCell ref="J120:L120"/>
    <mergeCell ref="B121:C121"/>
    <mergeCell ref="J121:L121"/>
    <mergeCell ref="B114:C114"/>
    <mergeCell ref="J114:K114"/>
    <mergeCell ref="B115:C115"/>
    <mergeCell ref="J115:K115"/>
    <mergeCell ref="A116:A129"/>
    <mergeCell ref="B116:C116"/>
    <mergeCell ref="J116:L116"/>
    <mergeCell ref="B117:C117"/>
    <mergeCell ref="J117:L117"/>
    <mergeCell ref="B118:C118"/>
    <mergeCell ref="B111:C111"/>
    <mergeCell ref="J111:K111"/>
    <mergeCell ref="B112:C112"/>
    <mergeCell ref="J112:K112"/>
    <mergeCell ref="B113:C113"/>
    <mergeCell ref="J113:K113"/>
    <mergeCell ref="B108:C108"/>
    <mergeCell ref="J108:K108"/>
    <mergeCell ref="B109:C109"/>
    <mergeCell ref="J109:K109"/>
    <mergeCell ref="B110:C110"/>
    <mergeCell ref="J110:K110"/>
    <mergeCell ref="B105:C105"/>
    <mergeCell ref="J105:K105"/>
    <mergeCell ref="B106:C106"/>
    <mergeCell ref="J106:K106"/>
    <mergeCell ref="B107:C107"/>
    <mergeCell ref="J107:K107"/>
    <mergeCell ref="B102:C102"/>
    <mergeCell ref="J102:K102"/>
    <mergeCell ref="B103:C103"/>
    <mergeCell ref="J103:K103"/>
    <mergeCell ref="B104:C104"/>
    <mergeCell ref="J104:K104"/>
    <mergeCell ref="B99:C99"/>
    <mergeCell ref="J99:K99"/>
    <mergeCell ref="B100:C100"/>
    <mergeCell ref="J100:K100"/>
    <mergeCell ref="B101:C101"/>
    <mergeCell ref="J101:K101"/>
    <mergeCell ref="B96:C96"/>
    <mergeCell ref="J96:K96"/>
    <mergeCell ref="B97:C97"/>
    <mergeCell ref="J97:K97"/>
    <mergeCell ref="B98:C98"/>
    <mergeCell ref="J98:K98"/>
    <mergeCell ref="B93:C93"/>
    <mergeCell ref="J93:L93"/>
    <mergeCell ref="B94:C94"/>
    <mergeCell ref="J94:K94"/>
    <mergeCell ref="B95:C95"/>
    <mergeCell ref="J95:K95"/>
    <mergeCell ref="B90:C90"/>
    <mergeCell ref="J90:K90"/>
    <mergeCell ref="B91:C91"/>
    <mergeCell ref="J91:K91"/>
    <mergeCell ref="B92:C92"/>
    <mergeCell ref="J92:K92"/>
    <mergeCell ref="J86:L86"/>
    <mergeCell ref="B87:C87"/>
    <mergeCell ref="J87:K87"/>
    <mergeCell ref="B88:C88"/>
    <mergeCell ref="J88:K88"/>
    <mergeCell ref="B89:C89"/>
    <mergeCell ref="J89:K89"/>
    <mergeCell ref="A82:A115"/>
    <mergeCell ref="B82:C82"/>
    <mergeCell ref="J82:L82"/>
    <mergeCell ref="B83:C83"/>
    <mergeCell ref="J83:K83"/>
    <mergeCell ref="B84:C84"/>
    <mergeCell ref="J84:L84"/>
    <mergeCell ref="B85:C85"/>
    <mergeCell ref="J85:L85"/>
    <mergeCell ref="B86:C86"/>
    <mergeCell ref="J78:L78"/>
    <mergeCell ref="B79:C79"/>
    <mergeCell ref="J79:L79"/>
    <mergeCell ref="B80:C80"/>
    <mergeCell ref="J80:L80"/>
    <mergeCell ref="B81:C81"/>
    <mergeCell ref="J81:L81"/>
    <mergeCell ref="A74:A81"/>
    <mergeCell ref="B74:C74"/>
    <mergeCell ref="J74:L74"/>
    <mergeCell ref="B75:C75"/>
    <mergeCell ref="J75:L75"/>
    <mergeCell ref="B76:C76"/>
    <mergeCell ref="J76:L76"/>
    <mergeCell ref="B77:C77"/>
    <mergeCell ref="J77:L77"/>
    <mergeCell ref="B78:C78"/>
    <mergeCell ref="B71:C71"/>
    <mergeCell ref="J71:K71"/>
    <mergeCell ref="B72:C72"/>
    <mergeCell ref="J72:K72"/>
    <mergeCell ref="B73:C73"/>
    <mergeCell ref="J73:L73"/>
    <mergeCell ref="B68:C68"/>
    <mergeCell ref="J68:L68"/>
    <mergeCell ref="B69:C69"/>
    <mergeCell ref="J69:K69"/>
    <mergeCell ref="B70:C70"/>
    <mergeCell ref="J70:K70"/>
    <mergeCell ref="J64:K64"/>
    <mergeCell ref="B65:C65"/>
    <mergeCell ref="J65:L65"/>
    <mergeCell ref="B66:C66"/>
    <mergeCell ref="J66:L66"/>
    <mergeCell ref="B67:C67"/>
    <mergeCell ref="J67:L67"/>
    <mergeCell ref="B60:C60"/>
    <mergeCell ref="J60:L60"/>
    <mergeCell ref="A61:A73"/>
    <mergeCell ref="B61:C61"/>
    <mergeCell ref="J61:L61"/>
    <mergeCell ref="B62:C62"/>
    <mergeCell ref="J62:L62"/>
    <mergeCell ref="B63:C63"/>
    <mergeCell ref="J63:L63"/>
    <mergeCell ref="B64:C64"/>
    <mergeCell ref="B57:C57"/>
    <mergeCell ref="J57:L57"/>
    <mergeCell ref="B58:C58"/>
    <mergeCell ref="J58:L58"/>
    <mergeCell ref="B59:C59"/>
    <mergeCell ref="J59:L59"/>
    <mergeCell ref="J53:L53"/>
    <mergeCell ref="B54:C54"/>
    <mergeCell ref="J54:L54"/>
    <mergeCell ref="B55:C55"/>
    <mergeCell ref="J55:L55"/>
    <mergeCell ref="B56:C56"/>
    <mergeCell ref="J56:L56"/>
    <mergeCell ref="A49:A60"/>
    <mergeCell ref="B49:C49"/>
    <mergeCell ref="J49:L49"/>
    <mergeCell ref="B50:C50"/>
    <mergeCell ref="J50:L50"/>
    <mergeCell ref="B51:C51"/>
    <mergeCell ref="J51:L51"/>
    <mergeCell ref="B52:C52"/>
    <mergeCell ref="J52:L52"/>
    <mergeCell ref="B53:C53"/>
    <mergeCell ref="B46:C46"/>
    <mergeCell ref="J46:K46"/>
    <mergeCell ref="B47:C47"/>
    <mergeCell ref="J47:K47"/>
    <mergeCell ref="B48:C48"/>
    <mergeCell ref="J48:L48"/>
    <mergeCell ref="B43:C43"/>
    <mergeCell ref="J43:K43"/>
    <mergeCell ref="B44:C44"/>
    <mergeCell ref="J44:K44"/>
    <mergeCell ref="B45:C45"/>
    <mergeCell ref="J45:K45"/>
    <mergeCell ref="B40:C40"/>
    <mergeCell ref="J40:K40"/>
    <mergeCell ref="B41:C41"/>
    <mergeCell ref="J41:K41"/>
    <mergeCell ref="B42:C42"/>
    <mergeCell ref="J42:K42"/>
    <mergeCell ref="B37:C37"/>
    <mergeCell ref="J37:K37"/>
    <mergeCell ref="B38:C38"/>
    <mergeCell ref="J38:K38"/>
    <mergeCell ref="B39:C39"/>
    <mergeCell ref="J39:K39"/>
    <mergeCell ref="B34:C34"/>
    <mergeCell ref="J34:L34"/>
    <mergeCell ref="B35:C35"/>
    <mergeCell ref="J35:K35"/>
    <mergeCell ref="B36:C36"/>
    <mergeCell ref="J36:K36"/>
    <mergeCell ref="B31:C31"/>
    <mergeCell ref="J31:K31"/>
    <mergeCell ref="B32:C32"/>
    <mergeCell ref="J32:K32"/>
    <mergeCell ref="B33:C33"/>
    <mergeCell ref="J33:L33"/>
    <mergeCell ref="B28:C28"/>
    <mergeCell ref="J28:K28"/>
    <mergeCell ref="B29:C29"/>
    <mergeCell ref="J29:K29"/>
    <mergeCell ref="B30:C30"/>
    <mergeCell ref="J30:K30"/>
    <mergeCell ref="B25:C25"/>
    <mergeCell ref="J25:K25"/>
    <mergeCell ref="B26:C26"/>
    <mergeCell ref="J26:K26"/>
    <mergeCell ref="B27:C27"/>
    <mergeCell ref="J27:K27"/>
    <mergeCell ref="B22:C22"/>
    <mergeCell ref="J22:L22"/>
    <mergeCell ref="B23:C23"/>
    <mergeCell ref="J23:K23"/>
    <mergeCell ref="B24:C24"/>
    <mergeCell ref="J24:K24"/>
    <mergeCell ref="B19:C19"/>
    <mergeCell ref="J19:L19"/>
    <mergeCell ref="B20:C20"/>
    <mergeCell ref="J20:L20"/>
    <mergeCell ref="B21:C21"/>
    <mergeCell ref="J21:L21"/>
    <mergeCell ref="B16:C16"/>
    <mergeCell ref="J16:L16"/>
    <mergeCell ref="B17:C17"/>
    <mergeCell ref="J17:L17"/>
    <mergeCell ref="B18:C18"/>
    <mergeCell ref="J18:K18"/>
    <mergeCell ref="J12:L12"/>
    <mergeCell ref="B13:C13"/>
    <mergeCell ref="J13:L13"/>
    <mergeCell ref="B14:C14"/>
    <mergeCell ref="J14:L14"/>
    <mergeCell ref="B15:C15"/>
    <mergeCell ref="J15:L15"/>
    <mergeCell ref="I8:I9"/>
    <mergeCell ref="J8:L9"/>
    <mergeCell ref="M8:M9"/>
    <mergeCell ref="N8:N9"/>
    <mergeCell ref="A10:A48"/>
    <mergeCell ref="B10:C10"/>
    <mergeCell ref="J10:L10"/>
    <mergeCell ref="B11:C11"/>
    <mergeCell ref="J11:L11"/>
    <mergeCell ref="B12:C12"/>
    <mergeCell ref="B8:C9"/>
    <mergeCell ref="D8:D9"/>
    <mergeCell ref="E8:E9"/>
    <mergeCell ref="F8:F9"/>
    <mergeCell ref="G8:G9"/>
    <mergeCell ref="H8:H9"/>
    <mergeCell ref="A1:N2"/>
    <mergeCell ref="A3:N3"/>
    <mergeCell ref="A4:N4"/>
    <mergeCell ref="A5:N5"/>
    <mergeCell ref="A6:N6"/>
    <mergeCell ref="B7:C7"/>
    <mergeCell ref="F7:H7"/>
    <mergeCell ref="I7:M7"/>
  </mergeCells>
  <printOptions/>
  <pageMargins left="0.7875" right="0.7875" top="0.9840277777777777" bottom="0.9840277777777777"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codeName="Plan3"/>
  <dimension ref="A1:IV312"/>
  <sheetViews>
    <sheetView zoomScale="120" zoomScaleNormal="120" zoomScaleSheetLayoutView="30" zoomScalePageLayoutView="0" workbookViewId="0" topLeftCell="A134">
      <selection activeCell="A180" sqref="A180"/>
    </sheetView>
  </sheetViews>
  <sheetFormatPr defaultColWidth="18.8515625" defaultRowHeight="12.75"/>
  <cols>
    <col min="1" max="1" width="27.421875" style="18" customWidth="1"/>
    <col min="2" max="2" width="17.57421875" style="19" customWidth="1"/>
    <col min="3" max="3" width="74.421875" style="18" customWidth="1"/>
    <col min="4" max="6" width="20.421875" style="18" customWidth="1"/>
    <col min="7" max="7" width="19.00390625" style="18" customWidth="1"/>
    <col min="8" max="8" width="22.140625" style="18" customWidth="1"/>
    <col min="9" max="9" width="22.57421875" style="18" customWidth="1"/>
    <col min="10" max="10" width="22.7109375" style="18" customWidth="1"/>
    <col min="11" max="178" width="18.8515625" style="20" customWidth="1"/>
    <col min="179" max="16384" width="18.8515625" style="18" customWidth="1"/>
  </cols>
  <sheetData>
    <row r="1" spans="1:256" s="21" customFormat="1" ht="17.25" customHeight="1">
      <c r="A1" s="541" t="str">
        <f>Parâmetros!A7</f>
        <v>Município de Ivoti</v>
      </c>
      <c r="B1" s="541"/>
      <c r="C1" s="541"/>
      <c r="D1" s="541"/>
      <c r="E1" s="541"/>
      <c r="F1" s="541"/>
      <c r="G1" s="541"/>
      <c r="H1" s="541"/>
      <c r="I1" s="541"/>
      <c r="J1" s="541"/>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s="21" customFormat="1" ht="30" customHeight="1">
      <c r="A2" s="542" t="str">
        <f>Parâmetros!A8</f>
        <v>LEI DE DIRETRIZES ORÇAMENTÁRIAS  PARA 2024</v>
      </c>
      <c r="B2" s="542"/>
      <c r="C2" s="542"/>
      <c r="D2" s="542"/>
      <c r="E2" s="542"/>
      <c r="F2" s="542"/>
      <c r="G2" s="542"/>
      <c r="H2" s="542"/>
      <c r="I2" s="542"/>
      <c r="J2" s="54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row>
    <row r="3" spans="1:256" s="21" customFormat="1" ht="19.5" customHeight="1">
      <c r="A3" s="543" t="s">
        <v>16</v>
      </c>
      <c r="B3" s="543"/>
      <c r="C3" s="543"/>
      <c r="D3" s="543"/>
      <c r="E3" s="543"/>
      <c r="F3" s="543"/>
      <c r="G3" s="543"/>
      <c r="H3" s="543"/>
      <c r="I3" s="543"/>
      <c r="J3" s="543"/>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row>
    <row r="4" spans="1:256" s="21" customFormat="1" ht="15.75" hidden="1">
      <c r="A4" s="23"/>
      <c r="B4" s="24"/>
      <c r="C4" s="25"/>
      <c r="D4" s="25"/>
      <c r="E4" s="25"/>
      <c r="F4" s="25"/>
      <c r="G4" s="25"/>
      <c r="H4" s="25"/>
      <c r="I4" s="25"/>
      <c r="J4" s="25"/>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row>
    <row r="5" spans="1:256" s="21" customFormat="1" ht="15.75">
      <c r="A5" s="26"/>
      <c r="B5" s="27"/>
      <c r="C5" s="28"/>
      <c r="D5" s="28"/>
      <c r="E5" s="28"/>
      <c r="F5" s="28"/>
      <c r="G5" s="28"/>
      <c r="H5" s="28"/>
      <c r="I5" s="28"/>
      <c r="J5" s="29" t="s">
        <v>17</v>
      </c>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row>
    <row r="6" spans="1:256" s="35" customFormat="1" ht="15.75" customHeight="1">
      <c r="A6" s="544" t="s">
        <v>18</v>
      </c>
      <c r="B6" s="545" t="s">
        <v>19</v>
      </c>
      <c r="C6" s="30" t="s">
        <v>20</v>
      </c>
      <c r="D6" s="31" t="s">
        <v>21</v>
      </c>
      <c r="E6" s="31" t="s">
        <v>21</v>
      </c>
      <c r="F6" s="31" t="s">
        <v>21</v>
      </c>
      <c r="G6" s="32" t="s">
        <v>22</v>
      </c>
      <c r="H6" s="32" t="s">
        <v>23</v>
      </c>
      <c r="I6" s="33" t="s">
        <v>23</v>
      </c>
      <c r="J6" s="34" t="s">
        <v>23</v>
      </c>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c r="IV6" s="36"/>
    </row>
    <row r="7" spans="1:256" s="35" customFormat="1" ht="27.75" customHeight="1">
      <c r="A7" s="544"/>
      <c r="B7" s="545"/>
      <c r="C7" s="37" t="s">
        <v>24</v>
      </c>
      <c r="D7" s="38">
        <f>Parâmetros!B10-1</f>
        <v>2020</v>
      </c>
      <c r="E7" s="39">
        <f aca="true" t="shared" si="0" ref="E7:J7">D7+1</f>
        <v>2021</v>
      </c>
      <c r="F7" s="39">
        <f t="shared" si="0"/>
        <v>2022</v>
      </c>
      <c r="G7" s="39">
        <f t="shared" si="0"/>
        <v>2023</v>
      </c>
      <c r="H7" s="39">
        <f t="shared" si="0"/>
        <v>2024</v>
      </c>
      <c r="I7" s="39">
        <f t="shared" si="0"/>
        <v>2025</v>
      </c>
      <c r="J7" s="39">
        <f t="shared" si="0"/>
        <v>2026</v>
      </c>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s="44" customFormat="1" ht="17.25" customHeight="1">
      <c r="A8" s="40" t="s">
        <v>25</v>
      </c>
      <c r="B8" s="41">
        <v>10000000</v>
      </c>
      <c r="C8" s="42" t="s">
        <v>26</v>
      </c>
      <c r="D8" s="43">
        <f aca="true" t="shared" si="1" ref="D8:J8">D9+D15+D22+D32+D33+D34+D37+D65</f>
        <v>95328878.49999999</v>
      </c>
      <c r="E8" s="43">
        <f t="shared" si="1"/>
        <v>114587988.6</v>
      </c>
      <c r="F8" s="43">
        <f t="shared" si="1"/>
        <v>129230819.48999998</v>
      </c>
      <c r="G8" s="43">
        <f t="shared" si="1"/>
        <v>135018180.62867758</v>
      </c>
      <c r="H8" s="43">
        <f t="shared" si="1"/>
        <v>149959214.8449631</v>
      </c>
      <c r="I8" s="43">
        <f t="shared" si="1"/>
        <v>158263465.7015487</v>
      </c>
      <c r="J8" s="43">
        <f t="shared" si="1"/>
        <v>165289341.90466022</v>
      </c>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1:256" s="50" customFormat="1" ht="12.75">
      <c r="A9" s="46" t="s">
        <v>27</v>
      </c>
      <c r="B9" s="47">
        <v>11000000</v>
      </c>
      <c r="C9" s="48" t="s">
        <v>28</v>
      </c>
      <c r="D9" s="49">
        <f aca="true" t="shared" si="2" ref="D9:J9">D10+D11+D12+D13+D14</f>
        <v>17913432.57</v>
      </c>
      <c r="E9" s="49">
        <f t="shared" si="2"/>
        <v>21763921.55</v>
      </c>
      <c r="F9" s="49">
        <f t="shared" si="2"/>
        <v>26202303.33</v>
      </c>
      <c r="G9" s="49">
        <f t="shared" si="2"/>
        <v>29093041.715706144</v>
      </c>
      <c r="H9" s="49">
        <f t="shared" si="2"/>
        <v>32104660.621956903</v>
      </c>
      <c r="I9" s="49">
        <f t="shared" si="2"/>
        <v>35815483.85523085</v>
      </c>
      <c r="J9" s="49">
        <f t="shared" si="2"/>
        <v>39418531.31853387</v>
      </c>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1:256" s="50" customFormat="1" ht="12.75">
      <c r="A10" s="52" t="s">
        <v>29</v>
      </c>
      <c r="B10" s="47">
        <v>11130100</v>
      </c>
      <c r="C10" s="53" t="s">
        <v>30</v>
      </c>
      <c r="D10" s="54">
        <v>1586743.18</v>
      </c>
      <c r="E10" s="54">
        <f>(1328302.11+261189.39+3352.2)</f>
        <v>1592843.7</v>
      </c>
      <c r="F10" s="54">
        <v>1983251.86</v>
      </c>
      <c r="G10" s="54">
        <f>(135696.71+188638.55+206357.03)+((260380.03+248926.44+251972.35+240208.49)/4*10)</f>
        <v>3034410.565</v>
      </c>
      <c r="H10" s="55">
        <f>(((E10*(1+Parâmetros!B11)*(1+Parâmetros!C11)*(1+Parâmetros!D11))+(F10*(1+Parâmetros!C11)*(1+Parâmetros!D11)+(G10*(1+Parâmetros!D11))))/3)*(1+Parâmetros!E11)*(1+Parâmetros!E15)</f>
        <v>2730518.2801979086</v>
      </c>
      <c r="I10" s="55">
        <f>H10*(1+Parâmetros!F11)*(1+Parâmetros!F15)</f>
        <v>3046125.748918754</v>
      </c>
      <c r="J10" s="55">
        <f>I10*(1+Parâmetros!G11)*(1+Parâmetros!G15)</f>
        <v>3352566.831689182</v>
      </c>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50" customFormat="1" ht="12.75">
      <c r="A11" s="52" t="s">
        <v>31</v>
      </c>
      <c r="B11" s="47">
        <v>11130100</v>
      </c>
      <c r="C11" s="53" t="s">
        <v>32</v>
      </c>
      <c r="D11" s="54">
        <v>585.64</v>
      </c>
      <c r="E11" s="54">
        <v>1771.66</v>
      </c>
      <c r="F11" s="54">
        <v>0</v>
      </c>
      <c r="G11" s="54">
        <v>0</v>
      </c>
      <c r="H11" s="55">
        <f>(((E11*(1+Parâmetros!B11)*(1+Parâmetros!C11)*(1+Parâmetros!D11))+(F11*(1+Parâmetros!C11)*(1+Parâmetros!D11)+(G11*(1+Parâmetros!D11))))/3)*(1+Parâmetros!E11)*(1+Parâmetros!E15)</f>
        <v>806.0946633458802</v>
      </c>
      <c r="I11" s="55">
        <f>H11*(1+Parâmetros!F11)*(1+Parâmetros!F15)</f>
        <v>899.2672665446896</v>
      </c>
      <c r="J11" s="55">
        <f>I11*(1+Parâmetros!G11)*(1+Parâmetros!G15)</f>
        <v>989.7337993061078</v>
      </c>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50" customFormat="1" ht="12.75">
      <c r="A12" s="52" t="s">
        <v>33</v>
      </c>
      <c r="B12" s="47">
        <v>11100000</v>
      </c>
      <c r="C12" s="53" t="s">
        <v>34</v>
      </c>
      <c r="D12" s="54">
        <v>13815097.73</v>
      </c>
      <c r="E12" s="54">
        <v>17287643.82</v>
      </c>
      <c r="F12" s="54">
        <f>(26202303.33-1983251.86-3340782.34)</f>
        <v>20878269.13</v>
      </c>
      <c r="G12" s="54">
        <f>(((17009115.47-1532179.6-6672128.97)/7)*12)+(6672128.97*1.0827)</f>
        <v>22317868.721533284</v>
      </c>
      <c r="H12" s="55">
        <f>(((E12*(1+Parâmetros!B11)*(1+Parâmetros!C11)*(1+Parâmetros!D11))+(F12*(1+Parâmetros!C11)*(1+Parâmetros!D11)+(G12*(1+Parâmetros!D11))))/3)*(1+Parâmetros!E11)*(1+Parâmetros!E15)</f>
        <v>25219148.987639993</v>
      </c>
      <c r="I12" s="55">
        <f>H12*(1+Parâmetros!F11)*(1+Parâmetros!F15)</f>
        <v>28134109.06426912</v>
      </c>
      <c r="J12" s="55">
        <f>I12*(1+Parâmetros!G11)*(1+Parâmetros!G15)</f>
        <v>30964408.124475744</v>
      </c>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50" customFormat="1" ht="12" customHeight="1">
      <c r="A13" s="52" t="s">
        <v>35</v>
      </c>
      <c r="B13" s="47">
        <v>11200000</v>
      </c>
      <c r="C13" s="53" t="s">
        <v>36</v>
      </c>
      <c r="D13" s="54">
        <v>2511006.02</v>
      </c>
      <c r="E13" s="54">
        <v>2881662.37</v>
      </c>
      <c r="F13" s="54">
        <v>3340782.34</v>
      </c>
      <c r="G13" s="54">
        <f>(((2915015.18-1989288.9)/7)*12+(1989288.9*1.0827))</f>
        <v>3740762.4291728577</v>
      </c>
      <c r="H13" s="55">
        <f>(((E13*(1+Parâmetros!B11)*(1+Parâmetros!C11)*(1+Parâmetros!D11))+(F13*(1+Parâmetros!C11)*(1+Parâmetros!D11)+(G13*(1+Parâmetros!D11))))/3)*(1+Parâmetros!E11)*(1+Parâmetros!E15)</f>
        <v>4154187.2594556534</v>
      </c>
      <c r="I13" s="55">
        <f>H13*(1+Parâmetros!F11)*(1+Parâmetros!F15)</f>
        <v>4634349.774776429</v>
      </c>
      <c r="J13" s="55">
        <f>I13*(1+Parâmetros!G11)*(1+Parâmetros!G15)</f>
        <v>5100566.6285696365</v>
      </c>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50" customFormat="1" ht="12.75">
      <c r="A14" s="52" t="s">
        <v>37</v>
      </c>
      <c r="B14" s="47">
        <v>11310000</v>
      </c>
      <c r="C14" s="53" t="s">
        <v>38</v>
      </c>
      <c r="D14" s="54">
        <v>0</v>
      </c>
      <c r="E14" s="54">
        <v>0</v>
      </c>
      <c r="F14" s="54">
        <v>0</v>
      </c>
      <c r="G14" s="54">
        <v>0</v>
      </c>
      <c r="H14" s="55">
        <f>(((E14*(1+Parâmetros!B11)*(1+Parâmetros!C11)*(1+Parâmetros!D11))+(F14*(1+Parâmetros!C11)*(1+Parâmetros!D11)+(G14*(1+Parâmetros!D11))))/3)*(1+Parâmetros!E11)*(1+Parâmetros!E15)</f>
        <v>0</v>
      </c>
      <c r="I14" s="55">
        <f>H14*(1+Parâmetros!F11)*(1+Parâmetros!F15)</f>
        <v>0</v>
      </c>
      <c r="J14" s="55">
        <f>I14*(1+Parâmetros!G11)*(1+Parâmetros!G15)</f>
        <v>0</v>
      </c>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56" customFormat="1" ht="12.75">
      <c r="A15" s="46" t="s">
        <v>39</v>
      </c>
      <c r="B15" s="47">
        <v>12000000</v>
      </c>
      <c r="C15" s="48" t="s">
        <v>40</v>
      </c>
      <c r="D15" s="49">
        <f aca="true" t="shared" si="3" ref="D15:J15">D16+D20+D21</f>
        <v>0</v>
      </c>
      <c r="E15" s="49">
        <f t="shared" si="3"/>
        <v>0</v>
      </c>
      <c r="F15" s="49">
        <f t="shared" si="3"/>
        <v>0</v>
      </c>
      <c r="G15" s="49">
        <f t="shared" si="3"/>
        <v>0</v>
      </c>
      <c r="H15" s="49">
        <f t="shared" si="3"/>
        <v>0</v>
      </c>
      <c r="I15" s="49">
        <f t="shared" si="3"/>
        <v>0</v>
      </c>
      <c r="J15" s="49">
        <f t="shared" si="3"/>
        <v>0</v>
      </c>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56" customFormat="1" ht="12.75">
      <c r="A16" s="46" t="s">
        <v>41</v>
      </c>
      <c r="B16" s="47">
        <v>12100000</v>
      </c>
      <c r="C16" s="48" t="s">
        <v>42</v>
      </c>
      <c r="D16" s="49">
        <f aca="true" t="shared" si="4" ref="D16:J16">D17+D18+D19</f>
        <v>0</v>
      </c>
      <c r="E16" s="49">
        <f t="shared" si="4"/>
        <v>0</v>
      </c>
      <c r="F16" s="49">
        <f t="shared" si="4"/>
        <v>0</v>
      </c>
      <c r="G16" s="49">
        <f t="shared" si="4"/>
        <v>0</v>
      </c>
      <c r="H16" s="49">
        <f t="shared" si="4"/>
        <v>0</v>
      </c>
      <c r="I16" s="49">
        <f t="shared" si="4"/>
        <v>0</v>
      </c>
      <c r="J16" s="49">
        <f t="shared" si="4"/>
        <v>0</v>
      </c>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56" customFormat="1" ht="12.75">
      <c r="A17" s="52" t="s">
        <v>43</v>
      </c>
      <c r="B17" s="47">
        <v>12160300</v>
      </c>
      <c r="C17" s="53" t="s">
        <v>44</v>
      </c>
      <c r="D17" s="54">
        <v>0</v>
      </c>
      <c r="E17" s="54">
        <v>0</v>
      </c>
      <c r="F17" s="54">
        <v>0</v>
      </c>
      <c r="G17" s="54"/>
      <c r="H17" s="55">
        <f>(((E17*(1+Parâmetros!B11)*(1+Parâmetros!C11)*(1+Parâmetros!D11))+(F17*(1+Parâmetros!C11)*(1+Parâmetros!D11)+(G17*(1+Parâmetros!D11))))/3)*(1+Parâmetros!E11)</f>
        <v>0</v>
      </c>
      <c r="I17" s="55">
        <f>H17*(1+Parâmetros!F11)</f>
        <v>0</v>
      </c>
      <c r="J17" s="55">
        <f>I17*(1+Parâmetros!G11)</f>
        <v>0</v>
      </c>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56" customFormat="1" ht="12.75">
      <c r="A18" s="52" t="s">
        <v>45</v>
      </c>
      <c r="B18" s="47">
        <v>12190000</v>
      </c>
      <c r="C18" s="53" t="s">
        <v>46</v>
      </c>
      <c r="D18" s="54">
        <v>0</v>
      </c>
      <c r="E18" s="54">
        <v>0</v>
      </c>
      <c r="F18" s="54">
        <v>0</v>
      </c>
      <c r="G18" s="54"/>
      <c r="H18" s="55">
        <f>(((E18*(1+Parâmetros!B11)*(1+Parâmetros!C11)*(1+Parâmetros!D11))+(F18*(1+Parâmetros!C11)*(1+Parâmetros!D11)+(G18*(1+Parâmetros!D11))))/3)*(1+Parâmetros!E11)</f>
        <v>0</v>
      </c>
      <c r="I18" s="55">
        <f>H18*(1+Parâmetros!F11)</f>
        <v>0</v>
      </c>
      <c r="J18" s="55">
        <f>I18*(1+Parâmetros!G11)</f>
        <v>0</v>
      </c>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56" customFormat="1" ht="12.75">
      <c r="A19" s="52" t="s">
        <v>47</v>
      </c>
      <c r="B19" s="47">
        <v>12199900</v>
      </c>
      <c r="C19" s="53" t="s">
        <v>48</v>
      </c>
      <c r="D19" s="54"/>
      <c r="E19" s="54">
        <v>0</v>
      </c>
      <c r="F19" s="54">
        <v>0</v>
      </c>
      <c r="G19" s="54">
        <v>0</v>
      </c>
      <c r="H19" s="55">
        <f>(((E19*(1+Parâmetros!B11)*(1+Parâmetros!C11)*(1+Parâmetros!D11))+(F19*(1+Parâmetros!C11)*(1+Parâmetros!D11)+(G19*(1+Parâmetros!D11))))/3)*(1+Parâmetros!E11)</f>
        <v>0</v>
      </c>
      <c r="I19" s="55">
        <f>H19*(1+Parâmetros!F11)</f>
        <v>0</v>
      </c>
      <c r="J19" s="55">
        <f>I19*(1+Parâmetros!G11)</f>
        <v>0</v>
      </c>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50" customFormat="1" ht="12.75">
      <c r="A20" s="52" t="s">
        <v>49</v>
      </c>
      <c r="B20" s="47">
        <v>12210000</v>
      </c>
      <c r="C20" s="53" t="s">
        <v>50</v>
      </c>
      <c r="D20" s="54">
        <v>0</v>
      </c>
      <c r="E20" s="54">
        <v>0</v>
      </c>
      <c r="F20" s="54">
        <v>0</v>
      </c>
      <c r="G20" s="54">
        <v>0</v>
      </c>
      <c r="H20" s="55">
        <f>(((E20*(1+Parâmetros!B11)*(1+Parâmetros!C11)*(1+Parâmetros!D11))+(F20*(1+Parâmetros!C11)*(1+Parâmetros!D11)+(G20*(1+Parâmetros!D11))))/3)*(1+Parâmetros!E11)</f>
        <v>0</v>
      </c>
      <c r="I20" s="55">
        <f>H20*(1+Parâmetros!F11)</f>
        <v>0</v>
      </c>
      <c r="J20" s="55">
        <f>I20*(1+Parâmetros!G11)</f>
        <v>0</v>
      </c>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1:256" s="50" customFormat="1" ht="12.75">
      <c r="A21" s="52" t="s">
        <v>51</v>
      </c>
      <c r="B21" s="47">
        <v>12415000</v>
      </c>
      <c r="C21" s="53" t="s">
        <v>52</v>
      </c>
      <c r="D21" s="54">
        <v>0</v>
      </c>
      <c r="E21" s="54">
        <v>0</v>
      </c>
      <c r="F21" s="54">
        <v>0</v>
      </c>
      <c r="G21" s="54">
        <v>0</v>
      </c>
      <c r="H21" s="55">
        <f>(((E21*(1+Parâmetros!B11)*(1+Parâmetros!C11)*(1+Parâmetros!D11))+(F21*(1+Parâmetros!C11)*(1+Parâmetros!D11)+(G21*(1+Parâmetros!D11))))/3)*(1+Parâmetros!E11)*(1+Parâmetros!E12)</f>
        <v>0</v>
      </c>
      <c r="I21" s="55">
        <f>H21*(1+Parâmetros!F11)*(1+Parâmetros!F12)</f>
        <v>0</v>
      </c>
      <c r="J21" s="55">
        <f>I21*(1+Parâmetros!G11)*(1+Parâmetros!G12)</f>
        <v>0</v>
      </c>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1:10" s="50" customFormat="1" ht="12.75">
      <c r="A22" s="57" t="s">
        <v>53</v>
      </c>
      <c r="B22" s="58">
        <v>13000000</v>
      </c>
      <c r="C22" s="59" t="s">
        <v>54</v>
      </c>
      <c r="D22" s="60">
        <f aca="true" t="shared" si="5" ref="D22:J22">D23+D24+D29+D30+D31</f>
        <v>733771.3999999999</v>
      </c>
      <c r="E22" s="60">
        <f t="shared" si="5"/>
        <v>1663646.43</v>
      </c>
      <c r="F22" s="60">
        <f t="shared" si="5"/>
        <v>6159334.199999999</v>
      </c>
      <c r="G22" s="60">
        <f t="shared" si="5"/>
        <v>6256413.5600000005</v>
      </c>
      <c r="H22" s="60">
        <f t="shared" si="5"/>
        <v>5440618.576820146</v>
      </c>
      <c r="I22" s="60">
        <f t="shared" si="5"/>
        <v>5732948.815639956</v>
      </c>
      <c r="J22" s="60">
        <f t="shared" si="5"/>
        <v>6040308.051963083</v>
      </c>
    </row>
    <row r="23" spans="1:10" s="50" customFormat="1" ht="12.75">
      <c r="A23" s="61" t="s">
        <v>55</v>
      </c>
      <c r="B23" s="58">
        <v>13110000</v>
      </c>
      <c r="C23" s="62" t="s">
        <v>56</v>
      </c>
      <c r="D23" s="54">
        <v>56402.76</v>
      </c>
      <c r="E23" s="54">
        <v>113509.66</v>
      </c>
      <c r="F23" s="54">
        <v>342022.09</v>
      </c>
      <c r="G23" s="54">
        <v>320300</v>
      </c>
      <c r="H23" s="54">
        <f>(((E23*(1+Parâmetros!B11)*(1+Parâmetros!C11)*(1+Parâmetros!D11))+(F23*(1+Parâmetros!C11)*(1+Parâmetros!D11)+(G23*(1+Parâmetros!D11))))/3)*(1+Parâmetros!E11)</f>
        <v>296099.172914138</v>
      </c>
      <c r="I23" s="54">
        <f>H23*(1+Parâmetros!F11)</f>
        <v>306758.743139047</v>
      </c>
      <c r="J23" s="54">
        <f>I23*(1+Parâmetros!G11)</f>
        <v>317495.29914891365</v>
      </c>
    </row>
    <row r="24" spans="1:10" s="63" customFormat="1" ht="15.75">
      <c r="A24" s="57" t="s">
        <v>57</v>
      </c>
      <c r="B24" s="58">
        <v>13200000</v>
      </c>
      <c r="C24" s="59" t="s">
        <v>58</v>
      </c>
      <c r="D24" s="60">
        <f aca="true" t="shared" si="6" ref="D24:J24">D25+D26+D27+D28</f>
        <v>402714.04999999993</v>
      </c>
      <c r="E24" s="60">
        <f t="shared" si="6"/>
        <v>1501673.09</v>
      </c>
      <c r="F24" s="60">
        <f t="shared" si="6"/>
        <v>5746286.93</v>
      </c>
      <c r="G24" s="60">
        <f t="shared" si="6"/>
        <v>5880113.5600000005</v>
      </c>
      <c r="H24" s="60">
        <f t="shared" si="6"/>
        <v>5048291.241885653</v>
      </c>
      <c r="I24" s="60">
        <f t="shared" si="6"/>
        <v>5324693.264644879</v>
      </c>
      <c r="J24" s="60">
        <f t="shared" si="6"/>
        <v>5615767.621956691</v>
      </c>
    </row>
    <row r="25" spans="1:10" s="56" customFormat="1" ht="12.75">
      <c r="A25" s="61" t="s">
        <v>59</v>
      </c>
      <c r="B25" s="58">
        <v>13210100</v>
      </c>
      <c r="C25" s="62" t="s">
        <v>60</v>
      </c>
      <c r="D25" s="54">
        <v>72472.72</v>
      </c>
      <c r="E25" s="54">
        <v>380645.84</v>
      </c>
      <c r="F25" s="54">
        <v>1462121.17</v>
      </c>
      <c r="G25" s="54">
        <f>(888955.14/7*12)</f>
        <v>1523923.097142857</v>
      </c>
      <c r="H25" s="54">
        <f>(((E25*(1+Parâmetros!B11)*(1+Parâmetros!C11)*(1+Parâmetros!D11))+(F25*(1+Parâmetros!C11)*(1+Parâmetros!D11)+(G25*(1+Parâmetros!D11))))/3)*(1+Parâmetros!E11)*(1+Parâmetros!E12)</f>
        <v>1294117.9306320355</v>
      </c>
      <c r="I25" s="54">
        <f>H25*(1+Parâmetros!F11)*(1+Parâmetros!F12)</f>
        <v>1364972.9579228286</v>
      </c>
      <c r="J25" s="54">
        <f>I25*(1+Parâmetros!G11)*(1+Parâmetros!G12)</f>
        <v>1439589.2046676797</v>
      </c>
    </row>
    <row r="26" spans="1:10" s="56" customFormat="1" ht="12.75">
      <c r="A26" s="61" t="s">
        <v>61</v>
      </c>
      <c r="B26" s="58">
        <v>13210100</v>
      </c>
      <c r="C26" s="62" t="s">
        <v>62</v>
      </c>
      <c r="D26" s="54">
        <v>328128.86</v>
      </c>
      <c r="E26" s="54">
        <v>1113296.25</v>
      </c>
      <c r="F26" s="54">
        <v>4214473.81</v>
      </c>
      <c r="G26" s="54">
        <f>((555049.48+1980228.29)/7*12)</f>
        <v>4346190.462857143</v>
      </c>
      <c r="H26" s="54">
        <f>(((E26*(1+Parâmetros!B11)*(1+Parâmetros!C11)*(1+Parâmetros!D11))+(F26*(1+Parâmetros!C11)*(1+Parâmetros!D11)+(G26*(1+Parâmetros!D11))))/3)*(1+Parâmetros!E11)*(1+Parâmetros!E12)</f>
        <v>3720023.776460441</v>
      </c>
      <c r="I26" s="54">
        <f>H26*(1+Parâmetros!F11)*(1+Parâmetros!F12)</f>
        <v>3923701.030259692</v>
      </c>
      <c r="J26" s="54">
        <f>I26*(1+Parâmetros!G11)*(1+Parâmetros!G12)</f>
        <v>4138190.1470788377</v>
      </c>
    </row>
    <row r="27" spans="1:10" s="56" customFormat="1" ht="12.75">
      <c r="A27" s="61" t="s">
        <v>63</v>
      </c>
      <c r="B27" s="58">
        <v>13210500</v>
      </c>
      <c r="C27" s="62" t="s">
        <v>64</v>
      </c>
      <c r="D27" s="54">
        <v>0</v>
      </c>
      <c r="E27" s="54">
        <v>0</v>
      </c>
      <c r="F27" s="54">
        <v>0</v>
      </c>
      <c r="G27" s="54">
        <v>0</v>
      </c>
      <c r="H27" s="54">
        <f>(((E27*(1+Parâmetros!B11)*(1+Parâmetros!C11)*(1+Parâmetros!D11))+(F27*(1+Parâmetros!C11)*(1+Parâmetros!D11)+(G27*(1+Parâmetros!D11))))/3)*(1+Parâmetros!E11)*(1+Parâmetros!E12)</f>
        <v>0</v>
      </c>
      <c r="I27" s="54">
        <f>H27*(1+Parâmetros!F11)*(1+Parâmetros!F12)</f>
        <v>0</v>
      </c>
      <c r="J27" s="54">
        <f>I27*(1+Parâmetros!G11)*(1+Parâmetros!G12)</f>
        <v>0</v>
      </c>
    </row>
    <row r="28" spans="1:10" s="56" customFormat="1" ht="12.75">
      <c r="A28" s="61" t="s">
        <v>65</v>
      </c>
      <c r="B28" s="58">
        <v>13299900</v>
      </c>
      <c r="C28" s="62" t="s">
        <v>66</v>
      </c>
      <c r="D28" s="54">
        <v>2112.47</v>
      </c>
      <c r="E28" s="54">
        <v>7731</v>
      </c>
      <c r="F28" s="54">
        <f>(5746286.93-1462121.17-4214473.81)</f>
        <v>69691.95000000019</v>
      </c>
      <c r="G28" s="54">
        <v>10000</v>
      </c>
      <c r="H28" s="54">
        <f>(((E28*(1+Parâmetros!B11)*(1+Parâmetros!C11)*(1+Parâmetros!D11))+(F28*(1+Parâmetros!C11)*(1+Parâmetros!D11)+(G28*(1+Parâmetros!D11))))/3)*(1+Parâmetros!E11)*(1+Parâmetros!E12)</f>
        <v>34149.5347931766</v>
      </c>
      <c r="I28" s="54">
        <f>H28*(1+Parâmetros!F11)*(1+Parâmetros!F12)</f>
        <v>36019.27646235869</v>
      </c>
      <c r="J28" s="54">
        <f>I28*(1+Parâmetros!G11)*(1+Parâmetros!G12)</f>
        <v>37988.27021017352</v>
      </c>
    </row>
    <row r="29" spans="1:10" s="56" customFormat="1" ht="25.5">
      <c r="A29" s="61" t="s">
        <v>67</v>
      </c>
      <c r="B29" s="58">
        <v>13300000</v>
      </c>
      <c r="C29" s="62" t="s">
        <v>68</v>
      </c>
      <c r="D29" s="54">
        <v>48654.59</v>
      </c>
      <c r="E29" s="54">
        <v>48463.68</v>
      </c>
      <c r="F29" s="54">
        <v>71025.18</v>
      </c>
      <c r="G29" s="54">
        <v>56000</v>
      </c>
      <c r="H29" s="54">
        <f>(((E29*(1+Parâmetros!B11)*(1+Parâmetros!C11)*(1+Parâmetros!D11))+(F29*(1+Parâmetros!C11)*(1+Parâmetros!D11)+(G29*(1+Parâmetros!D11))))/3)*(1+Parâmetros!E11)*(1+Parâmetros!E12)</f>
        <v>69076.6310066704</v>
      </c>
      <c r="I29" s="54">
        <f>H29*(1+Parâmetros!F11)*(1+Parâmetros!F12)</f>
        <v>72858.68707689522</v>
      </c>
      <c r="J29" s="54">
        <f>I29*(1+Parâmetros!G11)*(1+Parâmetros!G12)</f>
        <v>76841.50720595369</v>
      </c>
    </row>
    <row r="30" spans="1:10" s="56" customFormat="1" ht="12.75">
      <c r="A30" s="61" t="s">
        <v>69</v>
      </c>
      <c r="B30" s="58">
        <v>13610000</v>
      </c>
      <c r="C30" s="62" t="s">
        <v>70</v>
      </c>
      <c r="D30" s="54">
        <v>226000</v>
      </c>
      <c r="E30" s="54">
        <v>0</v>
      </c>
      <c r="F30" s="54">
        <v>0</v>
      </c>
      <c r="G30" s="54">
        <v>0</v>
      </c>
      <c r="H30" s="54">
        <f>(((E30*(1+Parâmetros!B11)*(1+Parâmetros!C11)*(1+Parâmetros!D11))+(F30*(1+Parâmetros!C11)*(1+Parâmetros!D11)+(G30*(1+Parâmetros!D11))))/3)*(1+Parâmetros!E11)*(1+Parâmetros!E12)</f>
        <v>0</v>
      </c>
      <c r="I30" s="54">
        <f>H30*(1+Parâmetros!F11)*(1+Parâmetros!F12)</f>
        <v>0</v>
      </c>
      <c r="J30" s="54">
        <f>I30*(1+Parâmetros!G11)*(1+Parâmetros!G12)</f>
        <v>0</v>
      </c>
    </row>
    <row r="31" spans="1:10" s="56" customFormat="1" ht="12.75">
      <c r="A31" s="61" t="s">
        <v>71</v>
      </c>
      <c r="B31" s="58">
        <v>13900000</v>
      </c>
      <c r="C31" s="62" t="s">
        <v>72</v>
      </c>
      <c r="D31" s="54">
        <v>0</v>
      </c>
      <c r="E31" s="54">
        <v>0</v>
      </c>
      <c r="F31" s="54">
        <v>0</v>
      </c>
      <c r="G31" s="54">
        <v>0</v>
      </c>
      <c r="H31" s="54">
        <f>(((E31*(1+Parâmetros!B11)*(1+Parâmetros!C11)*(1+Parâmetros!D11))+(F28*(1+Parâmetros!C11)*(1+Parâmetros!D11)+(G31*(1+Parâmetros!D11))))/3)*(1+Parâmetros!E11)*(1+Parâmetros!E12)</f>
        <v>27151.531013685144</v>
      </c>
      <c r="I31" s="54">
        <f>H31*(1+Parâmetros!F11)*(1+Parâmetros!F12)</f>
        <v>28638.12077913403</v>
      </c>
      <c r="J31" s="54">
        <f>I31*(1+Parâmetros!G11)*(1+Parâmetros!G12)</f>
        <v>30203.623651525388</v>
      </c>
    </row>
    <row r="32" spans="1:256" s="56" customFormat="1" ht="12.75">
      <c r="A32" s="52" t="s">
        <v>73</v>
      </c>
      <c r="B32" s="47">
        <v>14110100</v>
      </c>
      <c r="C32" s="53" t="s">
        <v>74</v>
      </c>
      <c r="D32" s="54">
        <v>0</v>
      </c>
      <c r="E32" s="54">
        <v>0</v>
      </c>
      <c r="F32" s="54">
        <v>0</v>
      </c>
      <c r="G32" s="54">
        <v>15000</v>
      </c>
      <c r="H32" s="55">
        <f>(((E32*(1+Parâmetros!B11)*(1+Parâmetros!C11)*(1+Parâmetros!D11))+(F32*(1+Parâmetros!C11)*(1+Parâmetros!D11)+(G32*(1+Parâmetros!D11))))/3)*(1+Parâmetros!E11)*(1+Parâmetros!E12)</f>
        <v>5524.58173824</v>
      </c>
      <c r="I32" s="55">
        <f>H32*(1+Parâmetros!F11)*(1+Parâmetros!F12)</f>
        <v>5827.061427739422</v>
      </c>
      <c r="J32" s="55">
        <f>I32*(1+Parâmetros!G11)*(1+Parâmetros!G12)</f>
        <v>6145.597740686796</v>
      </c>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56" customFormat="1" ht="12.75">
      <c r="A33" s="52" t="s">
        <v>75</v>
      </c>
      <c r="B33" s="47">
        <v>15110100</v>
      </c>
      <c r="C33" s="53" t="s">
        <v>76</v>
      </c>
      <c r="D33" s="54">
        <v>0</v>
      </c>
      <c r="E33" s="54">
        <v>0</v>
      </c>
      <c r="F33" s="54">
        <v>0</v>
      </c>
      <c r="G33" s="54">
        <v>0</v>
      </c>
      <c r="H33" s="55">
        <f>(((E33*(1+Parâmetros!B11)*(1+Parâmetros!C11)*(1+Parâmetros!D11))+(F33*(1+Parâmetros!C11)*(1+Parâmetros!D11)+(G33*(1+Parâmetros!D11))))/3)*(1+Parâmetros!E11)*(1+Parâmetros!E12)</f>
        <v>0</v>
      </c>
      <c r="I33" s="55">
        <f>H33*(1+Parâmetros!F11)*(1+Parâmetros!F12)</f>
        <v>0</v>
      </c>
      <c r="J33" s="55">
        <f>I33*(1+Parâmetros!G11)*(1+Parâmetros!G12)</f>
        <v>0</v>
      </c>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10" s="64" customFormat="1" ht="12.75">
      <c r="A34" s="46" t="s">
        <v>77</v>
      </c>
      <c r="B34" s="47">
        <v>16000000</v>
      </c>
      <c r="C34" s="48" t="s">
        <v>78</v>
      </c>
      <c r="D34" s="49">
        <f aca="true" t="shared" si="7" ref="D34:J34">D35+D36</f>
        <v>9589394.61</v>
      </c>
      <c r="E34" s="49">
        <f t="shared" si="7"/>
        <v>10011162.97</v>
      </c>
      <c r="F34" s="49">
        <f t="shared" si="7"/>
        <v>11319291.42</v>
      </c>
      <c r="G34" s="49">
        <f t="shared" si="7"/>
        <v>12598323.874285715</v>
      </c>
      <c r="H34" s="49">
        <f t="shared" si="7"/>
        <v>13859240.501241688</v>
      </c>
      <c r="I34" s="49">
        <f t="shared" si="7"/>
        <v>14608368.377121571</v>
      </c>
      <c r="J34" s="49">
        <f t="shared" si="7"/>
        <v>15396409.478546344</v>
      </c>
    </row>
    <row r="35" spans="1:256" s="56" customFormat="1" ht="25.5">
      <c r="A35" s="65" t="s">
        <v>79</v>
      </c>
      <c r="B35" s="66" t="s">
        <v>80</v>
      </c>
      <c r="C35" s="53" t="s">
        <v>81</v>
      </c>
      <c r="D35" s="54">
        <v>0</v>
      </c>
      <c r="E35" s="54">
        <v>0</v>
      </c>
      <c r="F35" s="54">
        <v>0</v>
      </c>
      <c r="G35"/>
      <c r="H35" s="49">
        <f>(((E35*(1+Parâmetros!B11)*(1+Parâmetros!C11)*(1+Parâmetros!D11))+(F35*(1+Parâmetros!C11)*(1+Parâmetros!D11)+(G40*(1+Parâmetros!D11))))/3)*(1+Parâmetros!E11)</f>
        <v>516634.119109792</v>
      </c>
      <c r="I35" s="55">
        <f>H35*(1+Parâmetros!F11)</f>
        <v>535232.9473977445</v>
      </c>
      <c r="J35" s="55">
        <f>I35*(1+Parâmetros!G11)</f>
        <v>553966.1005566656</v>
      </c>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56" customFormat="1" ht="12.75">
      <c r="A36" s="52" t="s">
        <v>77</v>
      </c>
      <c r="B36" s="47">
        <v>16999900</v>
      </c>
      <c r="C36" s="53" t="s">
        <v>82</v>
      </c>
      <c r="D36" s="54">
        <v>9589394.61</v>
      </c>
      <c r="E36" s="54">
        <v>10011162.97</v>
      </c>
      <c r="F36" s="54">
        <v>11319291.42</v>
      </c>
      <c r="G36" s="54">
        <f>(7349022.26/7*12)</f>
        <v>12598323.874285715</v>
      </c>
      <c r="H36" s="49">
        <f>(((E36*(1+Parâmetros!B11)*(1+Parâmetros!C11)*(1+Parâmetros!D11))+(F36*(1+Parâmetros!C11)*(1+Parâmetros!D11)+(G36*(1+Parâmetros!D11))))/3)*(1+Parâmetros!E11)*(1+Parâmetros!E12)</f>
        <v>13342606.382131895</v>
      </c>
      <c r="I36" s="49">
        <f>H36*(1+Parâmetros!F11)*(1+Parâmetros!F12)</f>
        <v>14073135.429723827</v>
      </c>
      <c r="J36" s="49">
        <f>I36*(1+Parâmetros!G11)*(1+Parâmetros!G12)</f>
        <v>14842443.377989678</v>
      </c>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67" customFormat="1" ht="12.75">
      <c r="A37" s="46" t="s">
        <v>83</v>
      </c>
      <c r="B37" s="47">
        <v>17000000</v>
      </c>
      <c r="C37" s="48" t="s">
        <v>84</v>
      </c>
      <c r="D37" s="49">
        <f aca="true" t="shared" si="8" ref="D37:J37">D38+D50+D60+D61+D62+D63+D64</f>
        <v>66935541.15</v>
      </c>
      <c r="E37" s="49">
        <f t="shared" si="8"/>
        <v>80901682.14999999</v>
      </c>
      <c r="F37" s="49">
        <f t="shared" si="8"/>
        <v>85344319.72</v>
      </c>
      <c r="G37" s="49">
        <f t="shared" si="8"/>
        <v>86833873.61011428</v>
      </c>
      <c r="H37" s="49">
        <f t="shared" si="8"/>
        <v>98285314.43021207</v>
      </c>
      <c r="I37" s="49">
        <f t="shared" si="8"/>
        <v>101827158.02283706</v>
      </c>
      <c r="J37" s="49">
        <f t="shared" si="8"/>
        <v>104144276.10292946</v>
      </c>
      <c r="FW37" s="68"/>
      <c r="FX37" s="68"/>
      <c r="FY37" s="68"/>
      <c r="FZ37" s="68"/>
      <c r="GA37" s="68"/>
      <c r="GB37" s="68"/>
      <c r="GC37" s="68"/>
      <c r="GD37" s="68"/>
      <c r="GE37" s="68"/>
      <c r="GF37" s="68"/>
      <c r="GG37" s="68"/>
      <c r="GH37" s="68"/>
      <c r="GI37" s="68"/>
      <c r="GJ37" s="68"/>
      <c r="GK37" s="68"/>
      <c r="GL37" s="68"/>
      <c r="GM37" s="68"/>
      <c r="GN37" s="68"/>
      <c r="GO37" s="68"/>
      <c r="GP37" s="68"/>
      <c r="GQ37" s="68"/>
      <c r="GR37" s="68"/>
      <c r="GS37" s="68"/>
      <c r="GT37" s="68"/>
      <c r="GU37" s="68"/>
      <c r="GV37" s="68"/>
      <c r="GW37" s="68"/>
      <c r="GX37" s="68"/>
      <c r="GY37" s="68"/>
      <c r="GZ37" s="68"/>
      <c r="HA37" s="68"/>
      <c r="HB37" s="68"/>
      <c r="HC37" s="68"/>
      <c r="HD37" s="68"/>
      <c r="HE37" s="68"/>
      <c r="HF37" s="68"/>
      <c r="HG37" s="68"/>
      <c r="HH37" s="68"/>
      <c r="HI37" s="68"/>
      <c r="HJ37" s="68"/>
      <c r="HK37" s="68"/>
      <c r="HL37" s="68"/>
      <c r="HM37" s="68"/>
      <c r="HN37" s="68"/>
      <c r="HO37" s="68"/>
      <c r="HP37" s="68"/>
      <c r="HQ37" s="68"/>
      <c r="HR37" s="68"/>
      <c r="HS37" s="68"/>
      <c r="HT37" s="68"/>
      <c r="HU37" s="68"/>
      <c r="HV37" s="68"/>
      <c r="HW37" s="68"/>
      <c r="HX37" s="68"/>
      <c r="HY37" s="68"/>
      <c r="HZ37" s="68"/>
      <c r="IA37" s="68"/>
      <c r="IB37" s="68"/>
      <c r="IC37" s="68"/>
      <c r="ID37" s="68"/>
      <c r="IE37" s="68"/>
      <c r="IF37" s="68"/>
      <c r="IG37" s="68"/>
      <c r="IH37" s="68"/>
      <c r="II37" s="68"/>
      <c r="IJ37" s="68"/>
      <c r="IK37" s="68"/>
      <c r="IL37" s="68"/>
      <c r="IM37" s="68"/>
      <c r="IN37" s="68"/>
      <c r="IO37" s="68"/>
      <c r="IP37" s="68"/>
      <c r="IQ37" s="68"/>
      <c r="IR37" s="68"/>
      <c r="IS37" s="68"/>
      <c r="IT37" s="68"/>
      <c r="IU37" s="68"/>
      <c r="IV37" s="68"/>
    </row>
    <row r="38" spans="1:256" s="67" customFormat="1" ht="12.75">
      <c r="A38" s="46" t="s">
        <v>85</v>
      </c>
      <c r="B38" s="47">
        <v>17100000</v>
      </c>
      <c r="C38" s="48" t="s">
        <v>86</v>
      </c>
      <c r="D38" s="49">
        <f>D39+D40+D41+D42+D43+D44+D45+D46+D47+D48+D49</f>
        <v>29431549.14</v>
      </c>
      <c r="E38" s="49">
        <f>E39+E40+E41+E42+E43+E44+E45+E46+E47+E48+E49</f>
        <v>31447955.459999997</v>
      </c>
      <c r="F38" s="49">
        <f>F39+F40+F41+F42+F43+F44+F45+F46+F47+F48+F49</f>
        <v>38428199.27</v>
      </c>
      <c r="G38" s="49">
        <f>G39+G41+G41+G42+G43+G44+G45+G46+G47+G48+G49</f>
        <v>40627168.13011428</v>
      </c>
      <c r="H38" s="49">
        <f>H39+H40+H41+H42+H43+H44+H45+H46+H47+H48+H49</f>
        <v>43399465.104748465</v>
      </c>
      <c r="I38" s="49">
        <f>I39+I40+I41+I42+I43+I44+I45+I46+I47+I48+I49</f>
        <v>46722423.37971663</v>
      </c>
      <c r="J38" s="49">
        <f>J39+J40+J41+J42+J43+J44+J45+J46+J47+J48+J49</f>
        <v>48988486.032755375</v>
      </c>
      <c r="FW38" s="68"/>
      <c r="FX38" s="68"/>
      <c r="FY38" s="68"/>
      <c r="FZ38" s="68"/>
      <c r="GA38" s="68"/>
      <c r="GB38" s="68"/>
      <c r="GC38" s="68"/>
      <c r="GD38" s="68"/>
      <c r="GE38" s="68"/>
      <c r="GF38" s="68"/>
      <c r="GG38" s="68"/>
      <c r="GH38" s="68"/>
      <c r="GI38" s="68"/>
      <c r="GJ38" s="68"/>
      <c r="GK38" s="68"/>
      <c r="GL38" s="68"/>
      <c r="GM38" s="68"/>
      <c r="GN38" s="68"/>
      <c r="GO38" s="68"/>
      <c r="GP38" s="68"/>
      <c r="GQ38" s="68"/>
      <c r="GR38" s="68"/>
      <c r="GS38" s="68"/>
      <c r="GT38" s="68"/>
      <c r="GU38" s="68"/>
      <c r="GV38" s="68"/>
      <c r="GW38" s="68"/>
      <c r="GX38" s="68"/>
      <c r="GY38" s="68"/>
      <c r="GZ38" s="68"/>
      <c r="HA38" s="68"/>
      <c r="HB38" s="68"/>
      <c r="HC38" s="68"/>
      <c r="HD38" s="68"/>
      <c r="HE38" s="68"/>
      <c r="HF38" s="68"/>
      <c r="HG38" s="68"/>
      <c r="HH38" s="68"/>
      <c r="HI38" s="68"/>
      <c r="HJ38" s="68"/>
      <c r="HK38" s="68"/>
      <c r="HL38" s="68"/>
      <c r="HM38" s="68"/>
      <c r="HN38" s="68"/>
      <c r="HO38" s="68"/>
      <c r="HP38" s="68"/>
      <c r="HQ38" s="68"/>
      <c r="HR38" s="68"/>
      <c r="HS38" s="68"/>
      <c r="HT38" s="68"/>
      <c r="HU38" s="68"/>
      <c r="HV38" s="68"/>
      <c r="HW38" s="68"/>
      <c r="HX38" s="68"/>
      <c r="HY38" s="68"/>
      <c r="HZ38" s="68"/>
      <c r="IA38" s="68"/>
      <c r="IB38" s="68"/>
      <c r="IC38" s="68"/>
      <c r="ID38" s="68"/>
      <c r="IE38" s="68"/>
      <c r="IF38" s="68"/>
      <c r="IG38" s="68"/>
      <c r="IH38" s="68"/>
      <c r="II38" s="68"/>
      <c r="IJ38" s="68"/>
      <c r="IK38" s="68"/>
      <c r="IL38" s="68"/>
      <c r="IM38" s="68"/>
      <c r="IN38" s="68"/>
      <c r="IO38" s="68"/>
      <c r="IP38" s="68"/>
      <c r="IQ38" s="68"/>
      <c r="IR38" s="68"/>
      <c r="IS38" s="68"/>
      <c r="IT38" s="68"/>
      <c r="IU38" s="68"/>
      <c r="IV38" s="68"/>
    </row>
    <row r="39" spans="1:10" s="56" customFormat="1" ht="12.75">
      <c r="A39" s="61" t="s">
        <v>87</v>
      </c>
      <c r="B39" s="58">
        <v>17115110</v>
      </c>
      <c r="C39" s="62" t="s">
        <v>88</v>
      </c>
      <c r="D39" s="54">
        <v>17859971.96</v>
      </c>
      <c r="E39" s="54">
        <v>24079985.21</v>
      </c>
      <c r="F39" s="54">
        <v>29979873.64</v>
      </c>
      <c r="G39" s="54">
        <f>(18638212.08/7*12)</f>
        <v>31951220.708571427</v>
      </c>
      <c r="H39" s="54">
        <f>(((E39*(1+Parâmetros!B11)*(1+Parâmetros!C11)*(1+Parâmetros!D11))+(F39*(1+Parâmetros!C11)*(1+Parâmetros!D11)+(G39*(1+Parâmetros!D11))))/3)*(1+Parâmetros!E11)*(1+Parâmetros!E16)</f>
        <v>33819591.289893314</v>
      </c>
      <c r="I39" s="54">
        <f>H39*(1+Parâmetros!F11)*(1+Parâmetros!F16)</f>
        <v>36612403.258546144</v>
      </c>
      <c r="J39" s="54">
        <f>I39*(1+Parâmetros!G11)*(1+Parâmetros!G16)</f>
        <v>38458236.56573844</v>
      </c>
    </row>
    <row r="40" spans="1:10" s="56" customFormat="1" ht="25.5">
      <c r="A40" s="61" t="s">
        <v>89</v>
      </c>
      <c r="B40" s="58">
        <v>17115120</v>
      </c>
      <c r="C40" s="62" t="s">
        <v>90</v>
      </c>
      <c r="D40" s="54">
        <v>803705.33</v>
      </c>
      <c r="E40" s="54">
        <v>1055455.15</v>
      </c>
      <c r="F40" s="54">
        <v>1315451.61</v>
      </c>
      <c r="G40" s="54">
        <f>(1315451.61*1.08)</f>
        <v>1420687.7388000002</v>
      </c>
      <c r="H40" s="54">
        <f>(((E40*(1+Parâmetros!B11)*(1+Parâmetros!C11)*(1+Parâmetros!D11))+(F40*(1+Parâmetros!C11)*(1+Parâmetros!D11)+(G41*(1+Parâmetros!D11))))/3)*(1+Parâmetros!E11)*(1+Parâmetros!E16)</f>
        <v>1557224.49647798</v>
      </c>
      <c r="I40" s="54">
        <f>H40*(1+Parâmetros!F11)*(1+Parâmetros!F16)</f>
        <v>1685819.6404690533</v>
      </c>
      <c r="J40" s="54">
        <f>I40*(1+Parâmetros!G11)*(1+Parâmetros!G16)</f>
        <v>1770811.1123569408</v>
      </c>
    </row>
    <row r="41" spans="1:10" s="56" customFormat="1" ht="25.5">
      <c r="A41" s="61" t="s">
        <v>91</v>
      </c>
      <c r="B41" s="58">
        <v>17115130</v>
      </c>
      <c r="C41" s="62" t="s">
        <v>92</v>
      </c>
      <c r="D41" s="54">
        <v>805418.85</v>
      </c>
      <c r="E41" s="54">
        <v>932333.72</v>
      </c>
      <c r="F41" s="54">
        <v>1456258.2</v>
      </c>
      <c r="G41" s="54">
        <f>(1361302.21+(222855.84*1.08))</f>
        <v>1601986.5172</v>
      </c>
      <c r="H41" s="54">
        <f>(((E41*(1+Parâmetros!B11)*(1+Parâmetros!C11)*(1+Parâmetros!D11))+(F41*(1+Parâmetros!C11)*(1+Parâmetros!D11)+(G41*(1+Parâmetros!D11))))/3)*(1+Parâmetros!E11)*(1+Parâmetros!E16)</f>
        <v>1559291.8598808807</v>
      </c>
      <c r="I41" s="54">
        <f>H41*(1+Parâmetros!F11)*(1+Parâmetros!F16)</f>
        <v>1688057.7261378055</v>
      </c>
      <c r="J41" s="54">
        <f>I41*(1+Parâmetros!G11)*(1+Parâmetros!G16)</f>
        <v>1773162.0322759484</v>
      </c>
    </row>
    <row r="42" spans="1:10" s="56" customFormat="1" ht="12.75">
      <c r="A42" s="61" t="s">
        <v>93</v>
      </c>
      <c r="B42" s="58">
        <v>17115200</v>
      </c>
      <c r="C42" s="62" t="s">
        <v>94</v>
      </c>
      <c r="D42" s="54">
        <v>10753.7</v>
      </c>
      <c r="E42" s="54">
        <v>12750.74</v>
      </c>
      <c r="F42" s="54">
        <v>10817.45</v>
      </c>
      <c r="G42" s="54">
        <v>6250</v>
      </c>
      <c r="H42" s="54">
        <f>(((E42*(1+Parâmetros!B11)*(1+Parâmetros!C11)*(1+Parâmetros!D11))+(F42*(1+Parâmetros!C11)*(1+Parâmetros!D11)+(G42*(1+Parâmetros!D11))))/3)*(1+Parâmetros!E11)*(1+Parâmetros!E16)</f>
        <v>12000.214360555081</v>
      </c>
      <c r="I42" s="54">
        <f>H42*(1+Parâmetros!F11)*(1+Parâmetros!F16)</f>
        <v>12991.188556703135</v>
      </c>
      <c r="J42" s="54">
        <f>I42*(1+Parâmetros!G11)*(1+Parâmetros!G16)</f>
        <v>13646.146068468788</v>
      </c>
    </row>
    <row r="43" spans="1:10" s="56" customFormat="1" ht="12.75">
      <c r="A43" s="61" t="s">
        <v>95</v>
      </c>
      <c r="B43" s="58">
        <v>17120000</v>
      </c>
      <c r="C43" s="62" t="s">
        <v>96</v>
      </c>
      <c r="D43" s="54">
        <v>302460.21</v>
      </c>
      <c r="E43" s="54">
        <v>468868.93</v>
      </c>
      <c r="F43" s="54">
        <v>1146662.99</v>
      </c>
      <c r="G43" s="54">
        <f>(316824.13/7*12)</f>
        <v>543127.0800000001</v>
      </c>
      <c r="H43" s="54">
        <f>(((E43*(1+Parâmetros!B11)*(1+Parâmetros!C11)*(1+Parâmetros!D11))+(F43*(1+Parâmetros!C11)*(1+Parâmetros!D11)+(G43*(1+Parâmetros!D11))))/3)*(1+Parâmetros!E11)*(1+Parâmetros!E16)</f>
        <v>848984.7381921061</v>
      </c>
      <c r="I43" s="54">
        <f>H43*(1+Parâmetros!F11)*(1+Parâmetros!F16)</f>
        <v>919093.6498493287</v>
      </c>
      <c r="J43" s="54">
        <f>I43*(1+Parâmetros!G11)*(1+Parâmetros!G16)</f>
        <v>965430.233092463</v>
      </c>
    </row>
    <row r="44" spans="1:10" s="56" customFormat="1" ht="25.5">
      <c r="A44" s="61" t="s">
        <v>97</v>
      </c>
      <c r="B44" s="58">
        <v>17130000</v>
      </c>
      <c r="C44" s="62" t="s">
        <v>98</v>
      </c>
      <c r="D44" s="54">
        <v>2798760.52</v>
      </c>
      <c r="E44" s="54">
        <v>2545768.18</v>
      </c>
      <c r="F44" s="54">
        <v>2175501.56</v>
      </c>
      <c r="G44" s="54">
        <f>(1155012.88/7*12)</f>
        <v>1980022.08</v>
      </c>
      <c r="H44" s="54">
        <f>(((E44*(1+Parâmetros!B11)*(1+Parâmetros!C11)*(1+Parâmetros!D11))+(F44*(1+Parâmetros!C11)*(1+Parâmetros!D11)+(G44*(1+Parâmetros!D11))))/3)*(1+Parâmetros!E11)</f>
        <v>2634681.5830136896</v>
      </c>
      <c r="I44" s="54">
        <f>H44*(1+Parâmetros!F11)</f>
        <v>2729530.1200021827</v>
      </c>
      <c r="J44" s="54">
        <f>I44*(1+Parâmetros!G11)</f>
        <v>2825063.6742022587</v>
      </c>
    </row>
    <row r="45" spans="1:10" s="56" customFormat="1" ht="12.75">
      <c r="A45" s="61" t="s">
        <v>99</v>
      </c>
      <c r="B45" s="58">
        <v>17165000</v>
      </c>
      <c r="C45" s="62" t="s">
        <v>100</v>
      </c>
      <c r="D45" s="54">
        <v>211021.98</v>
      </c>
      <c r="E45" s="54">
        <v>78032.3</v>
      </c>
      <c r="F45" s="54">
        <v>97925.03</v>
      </c>
      <c r="G45" s="54">
        <f>(((192058.02-100000)/7*12)+100000)</f>
        <v>257813.74857142856</v>
      </c>
      <c r="H45" s="54">
        <f>(((E45*(1+Parâmetros!B11)*(1+Parâmetros!C11)*(1+Parâmetros!D11))+(F45*(1+Parâmetros!C11)*(1+Parâmetros!D11)+(G45*(1+Parâmetros!D11))))/3)*(1+Parâmetros!E11)</f>
        <v>164459.29058904387</v>
      </c>
      <c r="I45" s="54">
        <f>H45*(1+Parâmetros!F11)</f>
        <v>170379.82505024946</v>
      </c>
      <c r="J45" s="54">
        <f>I45*(1+Parâmetros!G11)</f>
        <v>176343.11892700818</v>
      </c>
    </row>
    <row r="46" spans="1:10" s="56" customFormat="1" ht="25.5">
      <c r="A46" s="61" t="s">
        <v>101</v>
      </c>
      <c r="B46" s="58">
        <v>17140000</v>
      </c>
      <c r="C46" s="62" t="s">
        <v>102</v>
      </c>
      <c r="D46" s="54">
        <v>1833496.02</v>
      </c>
      <c r="E46" s="54">
        <v>1974912.59</v>
      </c>
      <c r="F46" s="54">
        <v>2130391.43</v>
      </c>
      <c r="G46" s="54">
        <f>((1084894.97/7*12)+(354914.4/6*10)+117417.53)</f>
        <v>2568761.4785714285</v>
      </c>
      <c r="H46" s="54">
        <f>(((E46*(1+Parâmetros!B11)*(1+Parâmetros!C11)*(1+Parâmetros!D11))+(F46*(1+Parâmetros!C11)*(1+Parâmetros!D11)+(G46*(1+Parâmetros!D11))))/3)*(1+Parâmetros!E11)</f>
        <v>2589742.879819863</v>
      </c>
      <c r="I46" s="54">
        <f>H46*(1+Parâmetros!F11)</f>
        <v>2682973.623493378</v>
      </c>
      <c r="J46" s="54">
        <f>I46*(1+Parâmetros!G11)</f>
        <v>2776877.700315646</v>
      </c>
    </row>
    <row r="47" spans="1:10" s="56" customFormat="1" ht="12.75">
      <c r="A47" s="61" t="s">
        <v>103</v>
      </c>
      <c r="B47" s="58">
        <v>17195100</v>
      </c>
      <c r="C47" s="62" t="s">
        <v>104</v>
      </c>
      <c r="D47" s="54">
        <v>0</v>
      </c>
      <c r="E47" s="54">
        <v>0</v>
      </c>
      <c r="F47" s="54">
        <v>0</v>
      </c>
      <c r="G47" s="54">
        <v>0</v>
      </c>
      <c r="H47" s="54"/>
      <c r="I47" s="54"/>
      <c r="J47" s="54"/>
    </row>
    <row r="48" spans="1:10" s="56" customFormat="1" ht="12.75">
      <c r="A48" s="61" t="s">
        <v>105</v>
      </c>
      <c r="B48" s="58">
        <v>17170000</v>
      </c>
      <c r="C48" s="62" t="s">
        <v>106</v>
      </c>
      <c r="D48" s="54">
        <v>0</v>
      </c>
      <c r="E48" s="54">
        <v>0</v>
      </c>
      <c r="F48" s="54">
        <v>0</v>
      </c>
      <c r="G48" s="54">
        <v>0</v>
      </c>
      <c r="H48" s="54">
        <f>(((E48*(1+Parâmetros!B11)*(1+Parâmetros!C11)*(1+Parâmetros!D11))+(F48*(1+Parâmetros!C11)*(1+Parâmetros!D11)+(G48*(1+Parâmetros!D11))))/3)*(1+Parâmetros!E11)</f>
        <v>0</v>
      </c>
      <c r="I48" s="54">
        <f>H48*(1+Parâmetros!F11)</f>
        <v>0</v>
      </c>
      <c r="J48" s="54">
        <f>I48*(1+Parâmetros!G11)</f>
        <v>0</v>
      </c>
    </row>
    <row r="49" spans="1:10" s="56" customFormat="1" ht="12.75">
      <c r="A49" s="61" t="s">
        <v>107</v>
      </c>
      <c r="B49" s="58">
        <v>17190000</v>
      </c>
      <c r="C49" s="62" t="s">
        <v>108</v>
      </c>
      <c r="D49" s="54">
        <v>4805960.57</v>
      </c>
      <c r="E49" s="54">
        <v>299848.64</v>
      </c>
      <c r="F49" s="54">
        <f>(38428199.27-29979873.64-1315451.61-1456258.2-10817.45-1146662.99-2175501.56-97925.03-2130391.43)</f>
        <v>115317.36000000173</v>
      </c>
      <c r="G49" s="54">
        <v>116000</v>
      </c>
      <c r="H49" s="54">
        <f>(((E49*(1+Parâmetros!B11)*(1+Parâmetros!C11)*(1+Parâmetros!D11))+(F49*(1+Parâmetros!C11)*(1+Parâmetros!D11)+(G49*(1+Parâmetros!D11))))/3)*(1+Parâmetros!E11)</f>
        <v>213488.75252103573</v>
      </c>
      <c r="I49" s="54">
        <f>H49*(1+Parâmetros!F11)</f>
        <v>221174.34761179303</v>
      </c>
      <c r="J49" s="54">
        <f>I49*(1+Parâmetros!G11)</f>
        <v>228915.44977820577</v>
      </c>
    </row>
    <row r="50" spans="1:256" s="67" customFormat="1" ht="12.75">
      <c r="A50" s="46" t="s">
        <v>109</v>
      </c>
      <c r="B50" s="47">
        <v>17200000</v>
      </c>
      <c r="C50" s="48" t="s">
        <v>110</v>
      </c>
      <c r="D50" s="49">
        <f aca="true" t="shared" si="9" ref="D50:J50">D51+D52+D53+D54+D55+D56+D57+D58+D59</f>
        <v>20445052.949999996</v>
      </c>
      <c r="E50" s="49">
        <f t="shared" si="9"/>
        <v>26393611.819999997</v>
      </c>
      <c r="F50" s="49">
        <f t="shared" si="9"/>
        <v>24396714.729999997</v>
      </c>
      <c r="G50" s="49">
        <f t="shared" si="9"/>
        <v>23234636.344285708</v>
      </c>
      <c r="H50" s="49">
        <f t="shared" si="9"/>
        <v>27728167.67745726</v>
      </c>
      <c r="I50" s="49">
        <f t="shared" si="9"/>
        <v>25710275.06284438</v>
      </c>
      <c r="J50" s="49">
        <f t="shared" si="9"/>
        <v>24281414.90427081</v>
      </c>
      <c r="FW50" s="68"/>
      <c r="FX50" s="68"/>
      <c r="FY50" s="68"/>
      <c r="FZ50" s="68"/>
      <c r="GA50" s="68"/>
      <c r="GB50" s="68"/>
      <c r="GC50" s="68"/>
      <c r="GD50" s="68"/>
      <c r="GE50" s="68"/>
      <c r="GF50" s="68"/>
      <c r="GG50" s="68"/>
      <c r="GH50" s="68"/>
      <c r="GI50" s="68"/>
      <c r="GJ50" s="68"/>
      <c r="GK50" s="68"/>
      <c r="GL50" s="68"/>
      <c r="GM50" s="68"/>
      <c r="GN50" s="68"/>
      <c r="GO50" s="68"/>
      <c r="GP50" s="68"/>
      <c r="GQ50" s="68"/>
      <c r="GR50" s="68"/>
      <c r="GS50" s="68"/>
      <c r="GT50" s="68"/>
      <c r="GU50" s="68"/>
      <c r="GV50" s="68"/>
      <c r="GW50" s="68"/>
      <c r="GX50" s="68"/>
      <c r="GY50" s="68"/>
      <c r="GZ50" s="68"/>
      <c r="HA50" s="68"/>
      <c r="HB50" s="68"/>
      <c r="HC50" s="68"/>
      <c r="HD50" s="68"/>
      <c r="HE50" s="68"/>
      <c r="HF50" s="68"/>
      <c r="HG50" s="68"/>
      <c r="HH50" s="68"/>
      <c r="HI50" s="68"/>
      <c r="HJ50" s="68"/>
      <c r="HK50" s="68"/>
      <c r="HL50" s="68"/>
      <c r="HM50" s="68"/>
      <c r="HN50" s="68"/>
      <c r="HO50" s="68"/>
      <c r="HP50" s="68"/>
      <c r="HQ50" s="68"/>
      <c r="HR50" s="68"/>
      <c r="HS50" s="68"/>
      <c r="HT50" s="68"/>
      <c r="HU50" s="68"/>
      <c r="HV50" s="68"/>
      <c r="HW50" s="68"/>
      <c r="HX50" s="68"/>
      <c r="HY50" s="68"/>
      <c r="HZ50" s="68"/>
      <c r="IA50" s="68"/>
      <c r="IB50" s="68"/>
      <c r="IC50" s="68"/>
      <c r="ID50" s="68"/>
      <c r="IE50" s="68"/>
      <c r="IF50" s="68"/>
      <c r="IG50" s="68"/>
      <c r="IH50" s="68"/>
      <c r="II50" s="68"/>
      <c r="IJ50" s="68"/>
      <c r="IK50" s="68"/>
      <c r="IL50" s="68"/>
      <c r="IM50" s="68"/>
      <c r="IN50" s="68"/>
      <c r="IO50" s="68"/>
      <c r="IP50" s="68"/>
      <c r="IQ50" s="68"/>
      <c r="IR50" s="68"/>
      <c r="IS50" s="68"/>
      <c r="IT50" s="68"/>
      <c r="IU50" s="68"/>
      <c r="IV50" s="68"/>
    </row>
    <row r="51" spans="1:10" s="56" customFormat="1" ht="12.75">
      <c r="A51" s="61" t="s">
        <v>111</v>
      </c>
      <c r="B51" s="58">
        <v>17215000</v>
      </c>
      <c r="C51" s="62" t="s">
        <v>112</v>
      </c>
      <c r="D51" s="54">
        <v>15012331.96</v>
      </c>
      <c r="E51" s="54">
        <v>19427528.13</v>
      </c>
      <c r="F51" s="54">
        <v>17006157.82</v>
      </c>
      <c r="G51" s="54">
        <f>(8924179.57/7*12)+(65807.67*6)</f>
        <v>15693439.568571428</v>
      </c>
      <c r="H51" s="54">
        <f>(((E51*(1+Parâmetros!B11)*(1+Parâmetros!C11)*(1+Parâmetros!D11))+(F51*(1+Parâmetros!C11)*(1+Parâmetros!D11)+(G51*(1+Parâmetros!D11))))/3)*(1+Parâmetros!E11)*(1+Parâmetros!E17)</f>
        <v>19535719.176775943</v>
      </c>
      <c r="I51" s="54">
        <f>H51*(1+Parâmetros!F11)*(1+Parâmetros!F17)</f>
        <v>18028882.67867176</v>
      </c>
      <c r="J51" s="54">
        <f>I51*(1+Parâmetros!G11)*(1+Parâmetros!G17)</f>
        <v>16953469.917513352</v>
      </c>
    </row>
    <row r="52" spans="1:10" s="56" customFormat="1" ht="12.75">
      <c r="A52" s="61" t="s">
        <v>113</v>
      </c>
      <c r="B52" s="58">
        <v>17215100</v>
      </c>
      <c r="C52" s="62" t="s">
        <v>114</v>
      </c>
      <c r="D52" s="54">
        <v>4519069</v>
      </c>
      <c r="E52" s="54">
        <v>5706727.41</v>
      </c>
      <c r="F52" s="54">
        <v>6306580.45</v>
      </c>
      <c r="G52" s="54">
        <v>6600000</v>
      </c>
      <c r="H52" s="54">
        <f>(((E52*(1+Parâmetros!B11)*(1+Parâmetros!C11)*(1+Parâmetros!D11))+(F52*(1+Parâmetros!C11)*(1+Parâmetros!D11)+(G52*(1+Parâmetros!D11))))/3)*(1+Parâmetros!E11)*(1+Parâmetros!E17)</f>
        <v>6910310.224833013</v>
      </c>
      <c r="I52" s="54">
        <f>H52*(1+Parâmetros!F11)*(1+Parâmetros!F17)</f>
        <v>6377301.556670974</v>
      </c>
      <c r="J52" s="54">
        <f>I52*(1+Parâmetros!G11)*(1+Parâmetros!G17)</f>
        <v>5996899.08814126</v>
      </c>
    </row>
    <row r="53" spans="1:10" s="56" customFormat="1" ht="12.75">
      <c r="A53" s="61" t="s">
        <v>115</v>
      </c>
      <c r="B53" s="58">
        <v>17215200</v>
      </c>
      <c r="C53" s="62" t="s">
        <v>116</v>
      </c>
      <c r="D53" s="54">
        <v>213812.98</v>
      </c>
      <c r="E53" s="54">
        <v>209494.46</v>
      </c>
      <c r="F53" s="54">
        <v>168102.32</v>
      </c>
      <c r="G53" s="54">
        <f>(89078.72/7*12)</f>
        <v>152706.37714285715</v>
      </c>
      <c r="H53" s="54">
        <f>(((E53*(1+Parâmetros!B11)*(1+Parâmetros!C11)*(1+Parâmetros!D11))+(F53*(1+Parâmetros!C11)*(1+Parâmetros!D11)+(G53*(1+Parâmetros!D11))))/3)*(1+Parâmetros!E11)*(1+Parâmetros!E17)</f>
        <v>199319.0894056938</v>
      </c>
      <c r="I53" s="54">
        <f>H53*(1+Parâmetros!F11)*(1+Parâmetros!F17)</f>
        <v>183945.1338339718</v>
      </c>
      <c r="J53" s="54">
        <f>I53*(1+Parâmetros!G11)*(1+Parâmetros!G17)</f>
        <v>172972.90955342542</v>
      </c>
    </row>
    <row r="54" spans="1:10" s="56" customFormat="1" ht="12.75">
      <c r="A54" s="61" t="s">
        <v>117</v>
      </c>
      <c r="B54" s="58">
        <v>17215300</v>
      </c>
      <c r="C54" s="62" t="s">
        <v>118</v>
      </c>
      <c r="D54" s="54">
        <v>22320.06</v>
      </c>
      <c r="E54" s="54">
        <v>14455.71</v>
      </c>
      <c r="F54" s="54">
        <v>22485.15</v>
      </c>
      <c r="G54" s="54">
        <f>(146.81+1397.68)</f>
        <v>1544.49</v>
      </c>
      <c r="H54" s="54">
        <f>(((E54*(1+Parâmetros!B11)*(1+Parâmetros!C11)*(1+Parâmetros!D11))+(F54*(1+Parâmetros!C11)*(1+Parâmetros!D11)+(G54*(1+Parâmetros!D11))))/3)*(1+Parâmetros!E11)*(1+Parâmetros!E17)</f>
        <v>14628.734051308646</v>
      </c>
      <c r="I54" s="54">
        <f>H54*(1+Parâmetros!F11)*(1+Parâmetros!F17)</f>
        <v>13500.384990283226</v>
      </c>
      <c r="J54" s="54">
        <f>I54*(1+Parâmetros!G11)*(1+Parâmetros!G17)</f>
        <v>12695.094581672523</v>
      </c>
    </row>
    <row r="55" spans="1:10" s="56" customFormat="1" ht="12.75">
      <c r="A55" s="61" t="s">
        <v>119</v>
      </c>
      <c r="B55" s="58">
        <v>17219800</v>
      </c>
      <c r="C55" s="62" t="s">
        <v>120</v>
      </c>
      <c r="D55" s="54">
        <v>0</v>
      </c>
      <c r="E55" s="54">
        <v>0</v>
      </c>
      <c r="F55" s="54">
        <v>0</v>
      </c>
      <c r="G55" s="54">
        <v>0</v>
      </c>
      <c r="H55" s="54">
        <f>(((E55*(1+Parâmetros!B11)*(1+Parâmetros!C11)*(1+Parâmetros!D11))+(F55*(1+Parâmetros!C11)*(1+Parâmetros!D11)+(G55*(1+Parâmetros!D11))))/3)*(1+Parâmetros!E11)</f>
        <v>0</v>
      </c>
      <c r="I55" s="54">
        <f>H55*(1+Parâmetros!F11)</f>
        <v>0</v>
      </c>
      <c r="J55" s="54">
        <f>I55*(1+Parâmetros!G11)</f>
        <v>0</v>
      </c>
    </row>
    <row r="56" spans="1:10" s="56" customFormat="1" ht="12.75">
      <c r="A56" s="61" t="s">
        <v>121</v>
      </c>
      <c r="B56" s="58">
        <v>17299900</v>
      </c>
      <c r="C56" s="62" t="s">
        <v>122</v>
      </c>
      <c r="D56" s="54">
        <v>0</v>
      </c>
      <c r="E56" s="54">
        <v>0</v>
      </c>
      <c r="F56" s="54">
        <v>0</v>
      </c>
      <c r="G56" s="54">
        <v>0</v>
      </c>
      <c r="H56" s="54">
        <f>(((E56*(1+Parâmetros!B11)*(1+Parâmetros!C11)*(1+Parâmetros!D11))+(F56*(1+Parâmetros!C11)*(1+Parâmetros!D11)+(G56*(1+Parâmetros!D11))))/3)*(1+Parâmetros!E11)</f>
        <v>0</v>
      </c>
      <c r="I56" s="54">
        <f>H56*(1+Parâmetros!F11)</f>
        <v>0</v>
      </c>
      <c r="J56" s="54">
        <f>I56*(1+Parâmetros!G11)</f>
        <v>0</v>
      </c>
    </row>
    <row r="57" spans="1:10" s="56" customFormat="1" ht="25.5">
      <c r="A57" s="61" t="s">
        <v>123</v>
      </c>
      <c r="B57" s="58">
        <v>17235000</v>
      </c>
      <c r="C57" s="62" t="s">
        <v>124</v>
      </c>
      <c r="D57" s="54">
        <v>554480.24</v>
      </c>
      <c r="E57" s="54">
        <v>987822.15</v>
      </c>
      <c r="F57" s="54">
        <v>745219.88</v>
      </c>
      <c r="G57" s="54">
        <v>13500</v>
      </c>
      <c r="H57" s="54">
        <f>(((E57*(1+Parâmetros!B11)*(1+Parâmetros!C11)*(1+Parâmetros!D11))+(F57*(1+Parâmetros!C11)*(1+Parâmetros!D11)+(G57*(1+Parâmetros!D11))))/3)*(1+Parâmetros!E11)</f>
        <v>709784.6165806269</v>
      </c>
      <c r="I57" s="54">
        <f>H57*(1+Parâmetros!F11)</f>
        <v>735336.8627775295</v>
      </c>
      <c r="J57" s="54">
        <f>I57*(1+Parâmetros!G11)</f>
        <v>761073.652974743</v>
      </c>
    </row>
    <row r="58" spans="1:10" s="56" customFormat="1" ht="12.75">
      <c r="A58" s="61" t="s">
        <v>125</v>
      </c>
      <c r="B58" s="58">
        <v>17240000</v>
      </c>
      <c r="C58" s="62" t="s">
        <v>126</v>
      </c>
      <c r="D58" s="54">
        <v>84299.9</v>
      </c>
      <c r="E58" s="54">
        <v>32026.83</v>
      </c>
      <c r="F58" s="54">
        <v>85968.59</v>
      </c>
      <c r="G58" s="54">
        <f>(438773.07/7*12)</f>
        <v>752182.4057142858</v>
      </c>
      <c r="H58" s="54">
        <f>(((E58*(1+Parâmetros!B11)*(1+Parâmetros!C11)*(1+Parâmetros!D11))+(F58*(1+Parâmetros!C11)*(1+Parâmetros!D11)+(G58*(1+Parâmetros!D11))))/3)*(1+Parâmetros!E11)</f>
        <v>320160.30701397086</v>
      </c>
      <c r="I58" s="54">
        <f>H58*(1+Parâmetros!F11)</f>
        <v>331686.0780664738</v>
      </c>
      <c r="J58" s="54">
        <f>I58*(1+Parâmetros!G11)</f>
        <v>343295.0907988004</v>
      </c>
    </row>
    <row r="59" spans="1:10" s="56" customFormat="1" ht="12.75">
      <c r="A59" s="61" t="s">
        <v>127</v>
      </c>
      <c r="B59" s="58">
        <v>17290000</v>
      </c>
      <c r="C59" s="62" t="s">
        <v>122</v>
      </c>
      <c r="D59" s="54">
        <v>38738.81</v>
      </c>
      <c r="E59" s="54">
        <v>15557.13</v>
      </c>
      <c r="F59" s="54">
        <v>62200.52</v>
      </c>
      <c r="G59" s="54">
        <f>(12403.71/7*12)</f>
        <v>21263.502857142856</v>
      </c>
      <c r="H59" s="54">
        <f>(((E59*(1+Parâmetros!B11)*(1+Parâmetros!C11)*(1+Parâmetros!D11))+(F59*(1+Parâmetros!C11)*(1+Parâmetros!D11)+(G59*(1+Parâmetros!D11))))/3)*(1+Parâmetros!E11)</f>
        <v>38245.528796707535</v>
      </c>
      <c r="I59" s="54">
        <f>H59*(1+Parâmetros!F11)</f>
        <v>39622.367833389006</v>
      </c>
      <c r="J59" s="54">
        <f>I59*(1+Parâmetros!G11)</f>
        <v>41009.150707557616</v>
      </c>
    </row>
    <row r="60" spans="1:10" s="56" customFormat="1" ht="12.75">
      <c r="A60" s="61" t="s">
        <v>128</v>
      </c>
      <c r="B60" s="58">
        <v>17300000</v>
      </c>
      <c r="C60" s="62" t="s">
        <v>129</v>
      </c>
      <c r="D60" s="54">
        <v>0</v>
      </c>
      <c r="E60" s="54">
        <v>0</v>
      </c>
      <c r="F60" s="54">
        <v>0</v>
      </c>
      <c r="G60" s="54">
        <v>0</v>
      </c>
      <c r="H60" s="54">
        <f>(((E60*(1+Parâmetros!B11)*(1+Parâmetros!C11)*(1+Parâmetros!D11))+(F60*(1+Parâmetros!C11)*(1+Parâmetros!D11)+(G60*(1+Parâmetros!D11))))/3)*(1+Parâmetros!E11)</f>
        <v>0</v>
      </c>
      <c r="I60" s="54">
        <f>H60*(1+Parâmetros!F11)</f>
        <v>0</v>
      </c>
      <c r="J60" s="54">
        <f>I60*(1+Parâmetros!G11)</f>
        <v>0</v>
      </c>
    </row>
    <row r="61" spans="1:10" s="56" customFormat="1" ht="12.75">
      <c r="A61" s="61" t="s">
        <v>130</v>
      </c>
      <c r="B61" s="58">
        <v>17400000</v>
      </c>
      <c r="C61" s="62" t="s">
        <v>131</v>
      </c>
      <c r="D61" s="54">
        <v>92346.3</v>
      </c>
      <c r="E61" s="54">
        <v>14362</v>
      </c>
      <c r="F61" s="54">
        <v>25500</v>
      </c>
      <c r="G61" s="54">
        <v>97500.01</v>
      </c>
      <c r="H61" s="54">
        <f>(((E61*(1+Parâmetros!B11)*(1+Parâmetros!C11)*(1+Parâmetros!D11))+(F61*(1+Parâmetros!C11)*(1+Parâmetros!D11)+(G61*(1+Parâmetros!D11))))/3)*(1+Parâmetros!E11)</f>
        <v>51345.43112274237</v>
      </c>
      <c r="I61" s="54">
        <f>H61*(1+Parâmetros!F11)</f>
        <v>53193.8666431611</v>
      </c>
      <c r="J61" s="54">
        <f>I61*(1+Parâmetros!G11)</f>
        <v>55055.65197567173</v>
      </c>
    </row>
    <row r="62" spans="1:10" s="56" customFormat="1" ht="12.75">
      <c r="A62" s="61" t="s">
        <v>132</v>
      </c>
      <c r="B62" s="58">
        <v>17515000</v>
      </c>
      <c r="C62" s="62" t="s">
        <v>133</v>
      </c>
      <c r="D62" s="54">
        <v>16891045.41</v>
      </c>
      <c r="E62" s="54">
        <v>22944544.02</v>
      </c>
      <c r="F62" s="54">
        <v>22409821.66</v>
      </c>
      <c r="G62" s="54">
        <f>((13146753.15/7*12)+(196698.84/7*12))</f>
        <v>22874489.125714287</v>
      </c>
      <c r="H62" s="54">
        <f>(((E62*(1+Parâmetros!B11)*(1+Parâmetros!C11)*(1+Parâmetros!D11))+(F62*(1+Parâmetros!C11)*(1+Parâmetros!D11)+(G62*(1+Parâmetros!D11))))/3)*(1+Parâmetros!E11)*(1+Parâmetros!E16)</f>
        <v>27031113.993560586</v>
      </c>
      <c r="I62" s="54">
        <f>H62*(1+Parâmetros!F11)*(1+Parâmetros!F16)</f>
        <v>29263335.490270257</v>
      </c>
      <c r="J62" s="54">
        <f>I62*(1+Parâmetros!G11)*(1+Parâmetros!G16)</f>
        <v>30738661.73274725</v>
      </c>
    </row>
    <row r="63" spans="1:10" s="56" customFormat="1" ht="12.75">
      <c r="A63" s="61" t="s">
        <v>134</v>
      </c>
      <c r="B63" s="58">
        <v>17610000</v>
      </c>
      <c r="C63" s="62" t="s">
        <v>135</v>
      </c>
      <c r="D63" s="54">
        <v>0</v>
      </c>
      <c r="E63" s="54">
        <v>0</v>
      </c>
      <c r="F63" s="54">
        <v>0</v>
      </c>
      <c r="G63" s="54">
        <v>0</v>
      </c>
      <c r="H63" s="54">
        <f>(((E63*(1+Parâmetros!B11)*(1+Parâmetros!C11)*(1+Parâmetros!D11))+(F63*(1+Parâmetros!C11)*(1+Parâmetros!D11)+(G63*(1+Parâmetros!D11))))/3)*(1+Parâmetros!E11)</f>
        <v>0</v>
      </c>
      <c r="I63" s="54">
        <f>H63*(1+Parâmetros!F11)</f>
        <v>0</v>
      </c>
      <c r="J63" s="54">
        <f>I63*(1+Parâmetros!G11)</f>
        <v>0</v>
      </c>
    </row>
    <row r="64" spans="1:10" s="56" customFormat="1" ht="12.75">
      <c r="A64" s="61" t="s">
        <v>136</v>
      </c>
      <c r="B64" s="58">
        <v>17910000</v>
      </c>
      <c r="C64" s="62" t="s">
        <v>137</v>
      </c>
      <c r="D64" s="54">
        <v>75547.35</v>
      </c>
      <c r="E64" s="54">
        <v>101208.85</v>
      </c>
      <c r="F64" s="54">
        <v>84084.06</v>
      </c>
      <c r="G64" s="54">
        <v>80</v>
      </c>
      <c r="H64" s="54">
        <f>(((E64*(1+Parâmetros!B11)*(1+Parâmetros!C11)*(1+Parâmetros!D11))+(F64*(1+Parâmetros!C11)*(1+Parâmetros!D11)+(G64*(1+Parâmetros!D11))))/3)*(1+Parâmetros!E11)</f>
        <v>75222.22332301404</v>
      </c>
      <c r="I64" s="54">
        <f>H64*(1+Parâmetros!F11)</f>
        <v>77930.22336264254</v>
      </c>
      <c r="J64" s="54">
        <f>I64*(1+Parâmetros!G11)</f>
        <v>80657.78118033503</v>
      </c>
    </row>
    <row r="65" spans="1:256" s="67" customFormat="1" ht="12.75">
      <c r="A65" s="46" t="s">
        <v>138</v>
      </c>
      <c r="B65" s="47">
        <v>19000000</v>
      </c>
      <c r="C65" s="48" t="s">
        <v>139</v>
      </c>
      <c r="D65" s="49">
        <f aca="true" t="shared" si="10" ref="D65:J65">D66+D67+D70</f>
        <v>156738.77</v>
      </c>
      <c r="E65" s="49">
        <f t="shared" si="10"/>
        <v>247575.5</v>
      </c>
      <c r="F65" s="49">
        <f t="shared" si="10"/>
        <v>205570.82</v>
      </c>
      <c r="G65" s="49">
        <f t="shared" si="10"/>
        <v>221527.86857142855</v>
      </c>
      <c r="H65" s="49">
        <f t="shared" si="10"/>
        <v>263856.1329940549</v>
      </c>
      <c r="I65" s="49">
        <f t="shared" si="10"/>
        <v>273679.56929153885</v>
      </c>
      <c r="J65" s="49">
        <f t="shared" si="10"/>
        <v>283671.3549467867</v>
      </c>
      <c r="FW65" s="68"/>
      <c r="FX65" s="68"/>
      <c r="FY65" s="68"/>
      <c r="FZ65" s="68"/>
      <c r="GA65" s="68"/>
      <c r="GB65" s="68"/>
      <c r="GC65" s="68"/>
      <c r="GD65" s="68"/>
      <c r="GE65" s="68"/>
      <c r="GF65" s="68"/>
      <c r="GG65" s="68"/>
      <c r="GH65" s="68"/>
      <c r="GI65" s="68"/>
      <c r="GJ65" s="68"/>
      <c r="GK65" s="68"/>
      <c r="GL65" s="68"/>
      <c r="GM65" s="68"/>
      <c r="GN65" s="68"/>
      <c r="GO65" s="68"/>
      <c r="GP65" s="68"/>
      <c r="GQ65" s="68"/>
      <c r="GR65" s="68"/>
      <c r="GS65" s="68"/>
      <c r="GT65" s="68"/>
      <c r="GU65" s="68"/>
      <c r="GV65" s="68"/>
      <c r="GW65" s="68"/>
      <c r="GX65" s="68"/>
      <c r="GY65" s="68"/>
      <c r="GZ65" s="68"/>
      <c r="HA65" s="68"/>
      <c r="HB65" s="68"/>
      <c r="HC65" s="68"/>
      <c r="HD65" s="68"/>
      <c r="HE65" s="68"/>
      <c r="HF65" s="68"/>
      <c r="HG65" s="68"/>
      <c r="HH65" s="68"/>
      <c r="HI65" s="68"/>
      <c r="HJ65" s="68"/>
      <c r="HK65" s="68"/>
      <c r="HL65" s="68"/>
      <c r="HM65" s="68"/>
      <c r="HN65" s="68"/>
      <c r="HO65" s="68"/>
      <c r="HP65" s="68"/>
      <c r="HQ65" s="68"/>
      <c r="HR65" s="68"/>
      <c r="HS65" s="68"/>
      <c r="HT65" s="68"/>
      <c r="HU65" s="68"/>
      <c r="HV65" s="68"/>
      <c r="HW65" s="68"/>
      <c r="HX65" s="68"/>
      <c r="HY65" s="68"/>
      <c r="HZ65" s="68"/>
      <c r="IA65" s="68"/>
      <c r="IB65" s="68"/>
      <c r="IC65" s="68"/>
      <c r="ID65" s="68"/>
      <c r="IE65" s="68"/>
      <c r="IF65" s="68"/>
      <c r="IG65" s="68"/>
      <c r="IH65" s="68"/>
      <c r="II65" s="68"/>
      <c r="IJ65" s="68"/>
      <c r="IK65" s="68"/>
      <c r="IL65" s="68"/>
      <c r="IM65" s="68"/>
      <c r="IN65" s="68"/>
      <c r="IO65" s="68"/>
      <c r="IP65" s="68"/>
      <c r="IQ65" s="68"/>
      <c r="IR65" s="68"/>
      <c r="IS65" s="68"/>
      <c r="IT65" s="68"/>
      <c r="IU65" s="68"/>
      <c r="IV65" s="68"/>
    </row>
    <row r="66" spans="1:256" s="56" customFormat="1" ht="12.75">
      <c r="A66" s="52" t="s">
        <v>140</v>
      </c>
      <c r="B66" s="47">
        <v>19110000</v>
      </c>
      <c r="C66" s="53" t="s">
        <v>141</v>
      </c>
      <c r="D66" s="54">
        <v>39422.35</v>
      </c>
      <c r="E66" s="54">
        <v>85927.67</v>
      </c>
      <c r="F66" s="54">
        <v>52360.17</v>
      </c>
      <c r="G66" s="54">
        <f>(40675.71/7*12)</f>
        <v>69729.78857142857</v>
      </c>
      <c r="H66" s="55">
        <f>(((E66*(1+Parâmetros!B11)*(1+Parâmetros!C11)*(1+Parâmetros!D11))+(F66*(1+Parâmetros!C11)*(1+Parâmetros!D11)+(G66*(1+Parâmetros!D11))))/3)*(1+Parâmetros!E11)</f>
        <v>81877.64375798732</v>
      </c>
      <c r="I66" s="55">
        <f>H66*(1+Parâmetros!F11)</f>
        <v>84825.23893327486</v>
      </c>
      <c r="J66" s="55">
        <f>I66*(1+Parâmetros!G11)</f>
        <v>87794.12229593947</v>
      </c>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s="56" customFormat="1" ht="12.75">
      <c r="A67" s="46" t="s">
        <v>142</v>
      </c>
      <c r="B67" s="47">
        <v>19200000</v>
      </c>
      <c r="C67" s="48" t="s">
        <v>143</v>
      </c>
      <c r="D67" s="49">
        <f aca="true" t="shared" si="11" ref="D67:J67">D68+D69</f>
        <v>82137.02</v>
      </c>
      <c r="E67" s="49">
        <f t="shared" si="11"/>
        <v>138656.01</v>
      </c>
      <c r="F67" s="49">
        <f t="shared" si="11"/>
        <v>118861.09</v>
      </c>
      <c r="G67" s="49">
        <f t="shared" si="11"/>
        <v>116365.97142857141</v>
      </c>
      <c r="H67" s="49">
        <f t="shared" si="11"/>
        <v>146741.2821144868</v>
      </c>
      <c r="I67" s="49">
        <f t="shared" si="11"/>
        <v>152023.9682706083</v>
      </c>
      <c r="J67" s="49">
        <f t="shared" si="11"/>
        <v>157344.8071600796</v>
      </c>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s="56" customFormat="1" ht="12.75">
      <c r="A68" s="52" t="s">
        <v>144</v>
      </c>
      <c r="B68" s="47">
        <v>19220120</v>
      </c>
      <c r="C68" s="53" t="s">
        <v>145</v>
      </c>
      <c r="D68" s="54">
        <v>0</v>
      </c>
      <c r="E68" s="54">
        <v>0</v>
      </c>
      <c r="F68" s="54">
        <v>0</v>
      </c>
      <c r="G68" s="54">
        <v>0</v>
      </c>
      <c r="H68" s="49">
        <f>(((E68*(1+Parâmetros!B11)*(1+Parâmetros!C11)*(1+Parâmetros!D11))+(F68*(1+Parâmetros!C11)*(1+Parâmetros!D11)+(G68*(1+Parâmetros!D11))))/3)*(1+Parâmetros!E11)</f>
        <v>0</v>
      </c>
      <c r="I68" s="49">
        <f>H68*(1+Parâmetros!F11)</f>
        <v>0</v>
      </c>
      <c r="J68" s="49">
        <f>I68*(1+Parâmetros!G11)</f>
        <v>0</v>
      </c>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s="56" customFormat="1" ht="12.75">
      <c r="A69" s="52" t="s">
        <v>146</v>
      </c>
      <c r="B69" s="47">
        <v>19229900</v>
      </c>
      <c r="C69" s="53" t="s">
        <v>147</v>
      </c>
      <c r="D69" s="54">
        <v>82137.02</v>
      </c>
      <c r="E69" s="54">
        <v>138656.01</v>
      </c>
      <c r="F69" s="54">
        <v>118861.09</v>
      </c>
      <c r="G69" s="54">
        <f>(67880.15/7*12)</f>
        <v>116365.97142857141</v>
      </c>
      <c r="H69" s="49">
        <f>(((E69*(1+Parâmetros!B11)*(1+Parâmetros!C11)*(1+Parâmetros!D11))+(F69*(1+Parâmetros!C11)*(1+Parâmetros!D11)+(G69*(1+Parâmetros!D11))))/3)*(1+Parâmetros!E11)</f>
        <v>146741.2821144868</v>
      </c>
      <c r="I69" s="49">
        <f>H69*(1+Parâmetros!F11)</f>
        <v>152023.9682706083</v>
      </c>
      <c r="J69" s="49">
        <f>I69*(1+Parâmetros!G11)</f>
        <v>157344.8071600796</v>
      </c>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s="67" customFormat="1" ht="12.75">
      <c r="A70" s="46" t="s">
        <v>148</v>
      </c>
      <c r="B70" s="47">
        <v>19990000</v>
      </c>
      <c r="C70" s="48" t="s">
        <v>149</v>
      </c>
      <c r="D70" s="49">
        <f aca="true" t="shared" si="12" ref="D70:J70">D71+D72+D73+D74+D75</f>
        <v>35179.4</v>
      </c>
      <c r="E70" s="49">
        <f t="shared" si="12"/>
        <v>22991.82</v>
      </c>
      <c r="F70" s="49">
        <f t="shared" si="12"/>
        <v>34349.56</v>
      </c>
      <c r="G70" s="49">
        <f t="shared" si="12"/>
        <v>35432.10857142857</v>
      </c>
      <c r="H70" s="49">
        <f t="shared" si="12"/>
        <v>35237.20712158079</v>
      </c>
      <c r="I70" s="49">
        <f t="shared" si="12"/>
        <v>36830.362087655696</v>
      </c>
      <c r="J70" s="49">
        <f t="shared" si="12"/>
        <v>38532.425490767644</v>
      </c>
      <c r="FW70" s="68"/>
      <c r="FX70" s="68"/>
      <c r="FY70" s="68"/>
      <c r="FZ70" s="68"/>
      <c r="GA70" s="68"/>
      <c r="GB70" s="68"/>
      <c r="GC70" s="68"/>
      <c r="GD70" s="68"/>
      <c r="GE70" s="68"/>
      <c r="GF70" s="68"/>
      <c r="GG70" s="68"/>
      <c r="GH70" s="68"/>
      <c r="GI70" s="68"/>
      <c r="GJ70" s="68"/>
      <c r="GK70" s="68"/>
      <c r="GL70" s="68"/>
      <c r="GM70" s="68"/>
      <c r="GN70" s="68"/>
      <c r="GO70" s="68"/>
      <c r="GP70" s="68"/>
      <c r="GQ70" s="68"/>
      <c r="GR70" s="68"/>
      <c r="GS70" s="68"/>
      <c r="GT70" s="68"/>
      <c r="GU70" s="68"/>
      <c r="GV70" s="68"/>
      <c r="GW70" s="68"/>
      <c r="GX70" s="68"/>
      <c r="GY70" s="68"/>
      <c r="GZ70" s="68"/>
      <c r="HA70" s="68"/>
      <c r="HB70" s="68"/>
      <c r="HC70" s="68"/>
      <c r="HD70" s="68"/>
      <c r="HE70" s="68"/>
      <c r="HF70" s="68"/>
      <c r="HG70" s="68"/>
      <c r="HH70" s="68"/>
      <c r="HI70" s="68"/>
      <c r="HJ70" s="68"/>
      <c r="HK70" s="68"/>
      <c r="HL70" s="68"/>
      <c r="HM70" s="68"/>
      <c r="HN70" s="68"/>
      <c r="HO70" s="68"/>
      <c r="HP70" s="68"/>
      <c r="HQ70" s="68"/>
      <c r="HR70" s="68"/>
      <c r="HS70" s="68"/>
      <c r="HT70" s="68"/>
      <c r="HU70" s="68"/>
      <c r="HV70" s="68"/>
      <c r="HW70" s="68"/>
      <c r="HX70" s="68"/>
      <c r="HY70" s="68"/>
      <c r="HZ70" s="68"/>
      <c r="IA70" s="68"/>
      <c r="IB70" s="68"/>
      <c r="IC70" s="68"/>
      <c r="ID70" s="68"/>
      <c r="IE70" s="68"/>
      <c r="IF70" s="68"/>
      <c r="IG70" s="68"/>
      <c r="IH70" s="68"/>
      <c r="II70" s="68"/>
      <c r="IJ70" s="68"/>
      <c r="IK70" s="68"/>
      <c r="IL70" s="68"/>
      <c r="IM70" s="68"/>
      <c r="IN70" s="68"/>
      <c r="IO70" s="68"/>
      <c r="IP70" s="68"/>
      <c r="IQ70" s="68"/>
      <c r="IR70" s="68"/>
      <c r="IS70" s="68"/>
      <c r="IT70" s="68"/>
      <c r="IU70" s="68"/>
      <c r="IV70" s="68"/>
    </row>
    <row r="71" spans="1:256" s="56" customFormat="1" ht="12.75">
      <c r="A71" s="52" t="s">
        <v>150</v>
      </c>
      <c r="B71" s="47">
        <v>19990600</v>
      </c>
      <c r="C71" s="53" t="s">
        <v>151</v>
      </c>
      <c r="D71" s="54">
        <v>0</v>
      </c>
      <c r="E71" s="54">
        <v>0</v>
      </c>
      <c r="F71" s="54">
        <v>0</v>
      </c>
      <c r="G71" s="54">
        <v>0</v>
      </c>
      <c r="H71" s="55">
        <f>(((E71*(1+Parâmetros!B11)*(1+Parâmetros!C11)*(1+Parâmetros!D11))+(F71*(1+Parâmetros!C11)*(1+Parâmetros!D11)+(G71*(1+Parâmetros!D11))))/3)*(1+Parâmetros!E11)</f>
        <v>0</v>
      </c>
      <c r="I71" s="55">
        <f>H71*(1+Parâmetros!F11)</f>
        <v>0</v>
      </c>
      <c r="J71" s="55">
        <f>I71*(1+Parâmetros!G11)</f>
        <v>0</v>
      </c>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s="56" customFormat="1" ht="12.75">
      <c r="A72" s="52" t="s">
        <v>152</v>
      </c>
      <c r="B72" s="47">
        <v>19991100</v>
      </c>
      <c r="C72" s="53" t="s">
        <v>153</v>
      </c>
      <c r="D72" s="54">
        <v>0</v>
      </c>
      <c r="E72" s="54">
        <v>0</v>
      </c>
      <c r="F72" s="54">
        <v>0</v>
      </c>
      <c r="G72" s="54">
        <v>0</v>
      </c>
      <c r="H72" s="55">
        <f>((D72+E72+F72+G72)/4)/Parâmetros!D22*Parâmetros!E22</f>
        <v>0</v>
      </c>
      <c r="I72" s="55">
        <f>((E72+F72+G72+H72)/4)/Parâmetros!E22*Parâmetros!F22</f>
        <v>0</v>
      </c>
      <c r="J72" s="55">
        <f>((F72+G72+H72+I72)/4)/Parâmetros!F22*Parâmetros!G22</f>
        <v>0</v>
      </c>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s="56" customFormat="1" ht="12.75">
      <c r="A73" s="52" t="s">
        <v>154</v>
      </c>
      <c r="B73" s="47">
        <v>19991200</v>
      </c>
      <c r="C73" s="53" t="s">
        <v>155</v>
      </c>
      <c r="D73" s="54">
        <v>33514.1</v>
      </c>
      <c r="E73" s="54">
        <v>22971.93</v>
      </c>
      <c r="F73" s="54">
        <v>33291.39</v>
      </c>
      <c r="G73" s="54">
        <f>(17490.53/7*12)</f>
        <v>29983.765714285713</v>
      </c>
      <c r="H73" s="55">
        <f>(((E73*(1+Parâmetros!B11)*(1+Parâmetros!C11)*(1+Parâmetros!D11))+(F73*(1+Parâmetros!C11)*(1+Parâmetros!D11)+(G73*(1+Parâmetros!D11))))/3)*(1+Parâmetros!E11)</f>
        <v>33435.37677300527</v>
      </c>
      <c r="I73" s="55">
        <f>H73*(1+Parâmetros!F11)</f>
        <v>34639.05033683346</v>
      </c>
      <c r="J73" s="55">
        <f>I73*(1+Parâmetros!G11)</f>
        <v>35851.41709862263</v>
      </c>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56" customFormat="1" ht="12.75">
      <c r="A74" s="52" t="s">
        <v>156</v>
      </c>
      <c r="B74" s="47">
        <v>19999930</v>
      </c>
      <c r="C74" s="53" t="s">
        <v>157</v>
      </c>
      <c r="D74" s="54">
        <v>0</v>
      </c>
      <c r="E74" s="54">
        <v>0</v>
      </c>
      <c r="F74" s="54">
        <v>233.17</v>
      </c>
      <c r="G74" s="54">
        <f>(3178.2/7*12)</f>
        <v>5448.342857142857</v>
      </c>
      <c r="H74" s="55">
        <f>((D74+E74+F74+G74)/4)*(1+Parâmetros!E11)</f>
        <v>1476.057040285714</v>
      </c>
      <c r="I74" s="55">
        <f>((E74+F74+G74+H74)/4)*(1+Parâmetros!F11)</f>
        <v>1853.8106034339999</v>
      </c>
      <c r="J74" s="55">
        <f>((F74+G74+H74+I74)/4)*(1+Parâmetros!G11)</f>
        <v>2331.69470459819</v>
      </c>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s="56" customFormat="1" ht="12.75">
      <c r="A75" s="52" t="s">
        <v>158</v>
      </c>
      <c r="B75" s="47">
        <v>19999900</v>
      </c>
      <c r="C75" s="53" t="s">
        <v>159</v>
      </c>
      <c r="D75" s="54">
        <v>1665.3</v>
      </c>
      <c r="E75" s="54">
        <v>19.89</v>
      </c>
      <c r="F75" s="54">
        <v>825</v>
      </c>
      <c r="G75" s="54">
        <v>0</v>
      </c>
      <c r="H75" s="55">
        <f>(((E75*(1+Parâmetros!B11)*(1+Parâmetros!C11)*(1+Parâmetros!D11))+(F75*(1+Parâmetros!C11)*(1+Parâmetros!D11)+(G75*(1+Parâmetros!D11))))/3)*(1+Parâmetros!E11)</f>
        <v>325.7733082898036</v>
      </c>
      <c r="I75" s="55">
        <f>H75*(1+Parâmetros!F11)</f>
        <v>337.5011473882365</v>
      </c>
      <c r="J75" s="55">
        <f>I75*(1+Parâmetros!G11)</f>
        <v>349.3136875468248</v>
      </c>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10" s="69" customFormat="1" ht="18">
      <c r="A76" s="57" t="s">
        <v>160</v>
      </c>
      <c r="B76" s="58">
        <v>20000000</v>
      </c>
      <c r="C76" s="59" t="s">
        <v>161</v>
      </c>
      <c r="D76" s="60">
        <f aca="true" t="shared" si="13" ref="D76:J76">D77+D78+D83+D84+D92</f>
        <v>1067481.15</v>
      </c>
      <c r="E76" s="60">
        <f t="shared" si="13"/>
        <v>2377059.5</v>
      </c>
      <c r="F76" s="60">
        <f t="shared" si="13"/>
        <v>3921041.91</v>
      </c>
      <c r="G76" s="60">
        <f t="shared" si="13"/>
        <v>2364695.907142857</v>
      </c>
      <c r="H76" s="60">
        <f t="shared" si="13"/>
        <v>3404214.8118238314</v>
      </c>
      <c r="I76" s="60">
        <f t="shared" si="13"/>
        <v>3570707.7390254075</v>
      </c>
      <c r="J76" s="60">
        <f t="shared" si="13"/>
        <v>3744287.142726988</v>
      </c>
    </row>
    <row r="77" spans="1:10" s="56" customFormat="1" ht="12.75">
      <c r="A77" s="61" t="s">
        <v>162</v>
      </c>
      <c r="B77" s="58">
        <v>21000000</v>
      </c>
      <c r="C77" s="62" t="s">
        <v>163</v>
      </c>
      <c r="D77" s="54">
        <v>33250.17</v>
      </c>
      <c r="E77" s="54">
        <v>0</v>
      </c>
      <c r="F77" s="54">
        <v>0</v>
      </c>
      <c r="G77" s="54">
        <v>0</v>
      </c>
      <c r="H77" s="70">
        <f>Dívida!E22</f>
        <v>0</v>
      </c>
      <c r="I77" s="54">
        <f>Dívida!F22</f>
        <v>0</v>
      </c>
      <c r="J77" s="54">
        <f>Dívida!G22</f>
        <v>0</v>
      </c>
    </row>
    <row r="78" spans="1:10" s="67" customFormat="1" ht="12.75">
      <c r="A78" s="57" t="s">
        <v>164</v>
      </c>
      <c r="B78" s="58">
        <v>22000000</v>
      </c>
      <c r="C78" s="59" t="s">
        <v>165</v>
      </c>
      <c r="D78" s="60">
        <f aca="true" t="shared" si="14" ref="D78:J78">D79+D80+D81+D82</f>
        <v>223420.99</v>
      </c>
      <c r="E78" s="60">
        <f t="shared" si="14"/>
        <v>1553423.17</v>
      </c>
      <c r="F78" s="60">
        <f t="shared" si="14"/>
        <v>592088.3300000001</v>
      </c>
      <c r="G78" s="60">
        <f t="shared" si="14"/>
        <v>452436.6742857143</v>
      </c>
      <c r="H78" s="60">
        <f t="shared" si="14"/>
        <v>1049956.2755557785</v>
      </c>
      <c r="I78" s="60">
        <f t="shared" si="14"/>
        <v>1087754.7014757865</v>
      </c>
      <c r="J78" s="60">
        <f t="shared" si="14"/>
        <v>1125826.116027439</v>
      </c>
    </row>
    <row r="79" spans="1:10" s="67" customFormat="1" ht="12.75">
      <c r="A79" s="61" t="s">
        <v>166</v>
      </c>
      <c r="B79" s="58">
        <v>22110100</v>
      </c>
      <c r="C79" s="62" t="s">
        <v>167</v>
      </c>
      <c r="D79" s="54">
        <v>0</v>
      </c>
      <c r="E79" s="54">
        <v>0</v>
      </c>
      <c r="F79" s="54">
        <v>0</v>
      </c>
      <c r="G79" s="54">
        <v>0</v>
      </c>
      <c r="H79" s="54">
        <f>((D79+E79+F79+G79)/4)*(1+Parâmetros!E11)</f>
        <v>0</v>
      </c>
      <c r="I79" s="54">
        <f>((E79+F79+G79+H79)/4)*(1+Parâmetros!F11)</f>
        <v>0</v>
      </c>
      <c r="J79" s="54">
        <f>((F79+G79+H79+I79)/4)*(1+Parâmetros!G11)</f>
        <v>0</v>
      </c>
    </row>
    <row r="80" spans="1:10" s="67" customFormat="1" ht="12.75">
      <c r="A80" s="61" t="s">
        <v>168</v>
      </c>
      <c r="B80" s="58">
        <v>22110200</v>
      </c>
      <c r="C80" s="62" t="s">
        <v>169</v>
      </c>
      <c r="D80" s="54">
        <v>0</v>
      </c>
      <c r="E80" s="54">
        <v>0</v>
      </c>
      <c r="F80" s="54">
        <v>0</v>
      </c>
      <c r="G80" s="54">
        <v>0</v>
      </c>
      <c r="H80" s="54">
        <f>((D80+E80+F80+G80)/4)*(1+Parâmetros!E11)</f>
        <v>0</v>
      </c>
      <c r="I80" s="54">
        <f>((E80+F80+G80+H80)/4)*(1+Parâmetros!F11)</f>
        <v>0</v>
      </c>
      <c r="J80" s="54">
        <f>((F80+G80+H80+I80)/4)*(1+Parâmetros!G11)</f>
        <v>0</v>
      </c>
    </row>
    <row r="81" spans="1:10" s="56" customFormat="1" ht="12.75">
      <c r="A81" s="61" t="s">
        <v>170</v>
      </c>
      <c r="B81" s="58">
        <v>22100000</v>
      </c>
      <c r="C81" s="62" t="s">
        <v>171</v>
      </c>
      <c r="D81" s="54">
        <v>201600</v>
      </c>
      <c r="E81" s="54">
        <v>2050</v>
      </c>
      <c r="F81" s="54">
        <v>148100</v>
      </c>
      <c r="G81" s="54">
        <v>235600</v>
      </c>
      <c r="H81" s="54">
        <f>(((E81*(1+Parâmetros!B11)*(1+Parâmetros!C11)*(1+Parâmetros!D11))+(F81*(1+Parâmetros!C11)*(1+Parâmetros!D11)+(G81*(1+Parâmetros!D11))))/3)*(1+Parâmetros!E11)</f>
        <v>143513.60027289356</v>
      </c>
      <c r="I81" s="54">
        <f>H81*(1+Parâmetros!F11)</f>
        <v>148680.08988271773</v>
      </c>
      <c r="J81" s="54">
        <f>I81*(1+Parâmetros!G11)</f>
        <v>153883.89302861283</v>
      </c>
    </row>
    <row r="82" spans="1:10" s="56" customFormat="1" ht="12.75">
      <c r="A82" s="61" t="s">
        <v>172</v>
      </c>
      <c r="B82" s="58">
        <v>22210100</v>
      </c>
      <c r="C82" s="62" t="s">
        <v>173</v>
      </c>
      <c r="D82" s="54">
        <v>21820.99</v>
      </c>
      <c r="E82" s="54">
        <v>1551373.17</v>
      </c>
      <c r="F82" s="54">
        <v>443988.33</v>
      </c>
      <c r="G82" s="54">
        <f>(126488.06/7*12)</f>
        <v>216836.67428571428</v>
      </c>
      <c r="H82" s="54">
        <f>(((E82*(1+Parâmetros!B11)*(1+Parâmetros!C11)*(1+Parâmetros!D11))+(F82*(1+Parâmetros!C11)*(1+Parâmetros!D11)+(G82*(1+Parâmetros!D11))))/3)*(1+Parâmetros!E11)</f>
        <v>906442.675282885</v>
      </c>
      <c r="I82" s="54">
        <f>H82*(1+Parâmetros!F11)</f>
        <v>939074.6115930688</v>
      </c>
      <c r="J82" s="54">
        <f>I82*(1+Parâmetros!G11)</f>
        <v>971942.2229988262</v>
      </c>
    </row>
    <row r="83" spans="1:10" s="56" customFormat="1" ht="12.75">
      <c r="A83" s="61" t="s">
        <v>174</v>
      </c>
      <c r="B83" s="58">
        <v>23110000</v>
      </c>
      <c r="C83" s="62" t="s">
        <v>175</v>
      </c>
      <c r="D83" s="54">
        <v>12952.85</v>
      </c>
      <c r="E83" s="54">
        <v>7280.33</v>
      </c>
      <c r="F83" s="54">
        <v>11347.58</v>
      </c>
      <c r="G83" s="54">
        <f>(5583.61/7*12)</f>
        <v>9571.902857142857</v>
      </c>
      <c r="H83" s="54">
        <f>(((E83*(1+Parâmetros!B11)*(1+Parâmetros!C11)*(1+Parâmetros!D11))+(F83*(1+Parâmetros!C11)*(1+Parâmetros!D11)+(G83*(1+Parâmetros!D11))))/3)*(1+Parâmetros!E11)</f>
        <v>10928.155078306958</v>
      </c>
      <c r="I83" s="54">
        <f>H83*(1+Parâmetros!F11)</f>
        <v>11321.568661126008</v>
      </c>
      <c r="J83" s="54">
        <f>I83*(1+Parâmetros!G11)</f>
        <v>11717.823564265418</v>
      </c>
    </row>
    <row r="84" spans="1:10" s="67" customFormat="1" ht="12.75">
      <c r="A84" s="57" t="s">
        <v>176</v>
      </c>
      <c r="B84" s="58">
        <v>24000000</v>
      </c>
      <c r="C84" s="59" t="s">
        <v>177</v>
      </c>
      <c r="D84" s="60">
        <f aca="true" t="shared" si="15" ref="D84:J84">D85+D86+D87+D88+D89+D90+D91</f>
        <v>797857.14</v>
      </c>
      <c r="E84" s="60">
        <f t="shared" si="15"/>
        <v>816356</v>
      </c>
      <c r="F84" s="60">
        <f t="shared" si="15"/>
        <v>3317606</v>
      </c>
      <c r="G84" s="60">
        <f t="shared" si="15"/>
        <v>1902687.33</v>
      </c>
      <c r="H84" s="60">
        <f t="shared" si="15"/>
        <v>2343330.381189746</v>
      </c>
      <c r="I84" s="60">
        <f t="shared" si="15"/>
        <v>2471631.4688884947</v>
      </c>
      <c r="J84" s="60">
        <f t="shared" si="15"/>
        <v>2606743.2031352837</v>
      </c>
    </row>
    <row r="85" spans="1:10" s="56" customFormat="1" ht="12.75">
      <c r="A85" s="61" t="s">
        <v>178</v>
      </c>
      <c r="B85" s="58">
        <v>24100000</v>
      </c>
      <c r="C85" s="62" t="s">
        <v>86</v>
      </c>
      <c r="D85" s="54">
        <v>797857.14</v>
      </c>
      <c r="E85" s="54">
        <v>716356</v>
      </c>
      <c r="F85" s="54">
        <v>1277606</v>
      </c>
      <c r="G85" s="54">
        <v>1667994</v>
      </c>
      <c r="H85" s="54">
        <f>(((E85*(1+Parâmetros!B11)*(1+Parâmetros!C11)*(1+Parâmetros!D11))+(F85*(1+Parâmetros!C11)*(1+Parâmetros!D11)+(G85*(1+Parâmetros!D11))))/3)*(1+Parâmetros!E11)*(1+Parâmetros!E12)</f>
        <v>1419242.1392573738</v>
      </c>
      <c r="I85" s="54">
        <f>H85*(1+Parâmetros!F11)*(1+Parâmetros!F12)</f>
        <v>1496947.9171691379</v>
      </c>
      <c r="J85" s="54">
        <f>I85*(1+Parâmetros!G11)*(1+Parâmetros!G12)</f>
        <v>1578778.5750611885</v>
      </c>
    </row>
    <row r="86" spans="1:10" s="56" customFormat="1" ht="12.75">
      <c r="A86" s="61" t="s">
        <v>179</v>
      </c>
      <c r="B86" s="58">
        <v>24200000</v>
      </c>
      <c r="C86" s="62" t="s">
        <v>110</v>
      </c>
      <c r="D86" s="54">
        <v>0</v>
      </c>
      <c r="E86" s="54">
        <v>100000</v>
      </c>
      <c r="F86" s="54">
        <v>2040000</v>
      </c>
      <c r="G86" s="54">
        <v>234693.33</v>
      </c>
      <c r="H86" s="54">
        <f>(((E86*(1+Parâmetros!B11)*(1+Parâmetros!C11)*(1+Parâmetros!D11))+(F86*(1+Parâmetros!C11)*(1+Parâmetros!D11)+(G86*(1+Parâmetros!D11))))/3)*(1+Parâmetros!E11)*(1+Parâmetros!E12)</f>
        <v>924088.2419323721</v>
      </c>
      <c r="I86" s="54">
        <f>H86*(1+Parâmetros!F11)*(1+Parâmetros!F12)</f>
        <v>974683.5517193567</v>
      </c>
      <c r="J86" s="54">
        <f>I86*(1+Parâmetros!G11)*(1+Parâmetros!G12)</f>
        <v>1027964.6280740952</v>
      </c>
    </row>
    <row r="87" spans="1:10" s="56" customFormat="1" ht="12.75">
      <c r="A87" s="61" t="s">
        <v>180</v>
      </c>
      <c r="B87" s="58">
        <v>24300000</v>
      </c>
      <c r="C87" s="62" t="s">
        <v>129</v>
      </c>
      <c r="D87" s="54">
        <v>0</v>
      </c>
      <c r="E87" s="54">
        <v>0</v>
      </c>
      <c r="F87" s="54">
        <v>0</v>
      </c>
      <c r="G87" s="54">
        <v>0</v>
      </c>
      <c r="H87" s="54">
        <f>(((E87*(1+Parâmetros!B11)*(1+Parâmetros!C11)*(1+Parâmetros!D11))+(F87*(1+Parâmetros!C11)*(1+Parâmetros!D11)+(G87*(1+Parâmetros!D11))))/3)*(1+Parâmetros!E11)*(1+Parâmetros!E12)</f>
        <v>0</v>
      </c>
      <c r="I87" s="54">
        <f>H87*(1+Parâmetros!F11)*(1+Parâmetros!F12)</f>
        <v>0</v>
      </c>
      <c r="J87" s="54">
        <f>I87*(1+Parâmetros!G11)*(1+Parâmetros!G12)</f>
        <v>0</v>
      </c>
    </row>
    <row r="88" spans="1:10" s="56" customFormat="1" ht="12.75">
      <c r="A88" s="61" t="s">
        <v>181</v>
      </c>
      <c r="B88" s="58">
        <v>24410000</v>
      </c>
      <c r="C88" s="62" t="s">
        <v>131</v>
      </c>
      <c r="D88" s="54">
        <v>0</v>
      </c>
      <c r="E88" s="54">
        <v>0</v>
      </c>
      <c r="F88" s="54">
        <v>0</v>
      </c>
      <c r="G88" s="54">
        <v>0</v>
      </c>
      <c r="H88" s="54">
        <f>(((E88*(1+Parâmetros!B11)*(1+Parâmetros!C11)*(1+Parâmetros!D11))+(F88*(1+Parâmetros!C11)*(1+Parâmetros!D11)+(G88*(1+Parâmetros!D11))))/3)*(1+Parâmetros!E11)*(1+Parâmetros!E12)</f>
        <v>0</v>
      </c>
      <c r="I88" s="54">
        <f>H88*(1+Parâmetros!F11)*(1+Parâmetros!F12)</f>
        <v>0</v>
      </c>
      <c r="J88" s="54">
        <f>I88*(1+Parâmetros!G11)*(1+Parâmetros!G12)</f>
        <v>0</v>
      </c>
    </row>
    <row r="89" spans="1:10" s="56" customFormat="1" ht="12.75">
      <c r="A89" s="61" t="s">
        <v>182</v>
      </c>
      <c r="B89" s="58">
        <v>24510100</v>
      </c>
      <c r="C89" s="62" t="s">
        <v>183</v>
      </c>
      <c r="D89" s="54">
        <v>0</v>
      </c>
      <c r="E89" s="54">
        <v>0</v>
      </c>
      <c r="F89" s="54">
        <v>0</v>
      </c>
      <c r="G89" s="54">
        <v>0</v>
      </c>
      <c r="H89" s="54">
        <f>(((E89*(1+Parâmetros!B11)*(1+Parâmetros!C11)*(1+Parâmetros!D11))+(F89*(1+Parâmetros!C11)*(1+Parâmetros!D11)+(G89*(1+Parâmetros!D11))))/3)*(1+Parâmetros!E11)*(1+Parâmetros!E12)</f>
        <v>0</v>
      </c>
      <c r="I89" s="54">
        <f>H89:H90*(1+Parâmetros!F11)*(1+Parâmetros!F12)</f>
        <v>0</v>
      </c>
      <c r="J89" s="54">
        <f>I89:I90*(1+Parâmetros!G11)*(1+Parâmetros!G12)</f>
        <v>0</v>
      </c>
    </row>
    <row r="90" spans="1:10" s="56" customFormat="1" ht="12.75">
      <c r="A90" s="61" t="s">
        <v>184</v>
      </c>
      <c r="B90" s="58">
        <v>24610000</v>
      </c>
      <c r="C90" s="62" t="s">
        <v>135</v>
      </c>
      <c r="D90" s="54">
        <v>0</v>
      </c>
      <c r="E90" s="54">
        <v>0</v>
      </c>
      <c r="F90" s="54">
        <v>0</v>
      </c>
      <c r="G90" s="54">
        <v>0</v>
      </c>
      <c r="H90" s="54">
        <f>(((E90*(1+Parâmetros!B11)*(1+Parâmetros!C11)*(1+Parâmetros!D11))+(F90*(1+Parâmetros!C11)*(1+Parâmetros!D11)+(G90*(1+Parâmetros!D11))))/3)*(1+Parâmetros!E11)*(1+Parâmetros!E12)</f>
        <v>0</v>
      </c>
      <c r="I90" s="54">
        <f>H90*(1+Parâmetros!F11)*(1+Parâmetros!F12)</f>
        <v>0</v>
      </c>
      <c r="J90" s="54">
        <f>I90*(1+Parâmetros!G11)*(1+Parâmetros!G12)</f>
        <v>0</v>
      </c>
    </row>
    <row r="91" spans="1:10" s="56" customFormat="1" ht="12.75">
      <c r="A91" s="61" t="s">
        <v>185</v>
      </c>
      <c r="B91" s="58">
        <v>24910000</v>
      </c>
      <c r="C91" s="62" t="s">
        <v>137</v>
      </c>
      <c r="D91" s="54">
        <v>0</v>
      </c>
      <c r="E91" s="54">
        <v>0</v>
      </c>
      <c r="F91" s="54">
        <v>0</v>
      </c>
      <c r="G91" s="54">
        <v>0</v>
      </c>
      <c r="H91" s="54">
        <f>(((E91*(1+Parâmetros!B11)*(1+Parâmetros!C11)*(1+Parâmetros!D11))+(F91*(1+Parâmetros!C11)*(1+Parâmetros!D11)+(G91*(1+Parâmetros!D11))))/3)*(1+Parâmetros!E11)*(1+Parâmetros!E12)</f>
        <v>0</v>
      </c>
      <c r="I91" s="54">
        <f>H91*(1+Parâmetros!F11)*(1+Parâmetros!F12)</f>
        <v>0</v>
      </c>
      <c r="J91" s="54">
        <f>I91*(1+Parâmetros!G11)*(1+Parâmetros!G12)</f>
        <v>0</v>
      </c>
    </row>
    <row r="92" spans="1:10" s="67" customFormat="1" ht="12.75">
      <c r="A92" s="57" t="s">
        <v>186</v>
      </c>
      <c r="B92" s="58">
        <v>29000000</v>
      </c>
      <c r="C92" s="59" t="s">
        <v>187</v>
      </c>
      <c r="D92" s="60">
        <f aca="true" t="shared" si="16" ref="D92:J92">D93+D94</f>
        <v>0</v>
      </c>
      <c r="E92" s="60">
        <f t="shared" si="16"/>
        <v>0</v>
      </c>
      <c r="F92" s="60">
        <f t="shared" si="16"/>
        <v>0</v>
      </c>
      <c r="G92" s="60">
        <f t="shared" si="16"/>
        <v>0</v>
      </c>
      <c r="H92" s="60">
        <f t="shared" si="16"/>
        <v>0</v>
      </c>
      <c r="I92" s="60">
        <f t="shared" si="16"/>
        <v>0</v>
      </c>
      <c r="J92" s="60">
        <f t="shared" si="16"/>
        <v>0</v>
      </c>
    </row>
    <row r="93" spans="1:10" s="56" customFormat="1" ht="12.75">
      <c r="A93" s="61" t="s">
        <v>188</v>
      </c>
      <c r="B93" s="58">
        <v>29999900</v>
      </c>
      <c r="C93" s="71" t="s">
        <v>187</v>
      </c>
      <c r="D93" s="54">
        <v>0</v>
      </c>
      <c r="E93" s="54">
        <v>0</v>
      </c>
      <c r="F93" s="54">
        <v>0</v>
      </c>
      <c r="G93" s="54">
        <v>0</v>
      </c>
      <c r="H93" s="54">
        <f>(((E93*(1+Parâmetros!B11)*(1+Parâmetros!C11)*(1+Parâmetros!D11))+(F93*(1+Parâmetros!C11)*(1+Parâmetros!D11)+(G93*(1+Parâmetros!D11))))/3)*(1+Parâmetros!E11)</f>
        <v>0</v>
      </c>
      <c r="I93" s="54">
        <f>H93*(1+Parâmetros!F11)</f>
        <v>0</v>
      </c>
      <c r="J93" s="54">
        <f>I93*(1+Parâmetros!G11)</f>
        <v>0</v>
      </c>
    </row>
    <row r="94" spans="1:10" s="56" customFormat="1" ht="12.75">
      <c r="A94" s="61" t="s">
        <v>189</v>
      </c>
      <c r="B94" s="58">
        <v>29999900</v>
      </c>
      <c r="C94" s="71" t="s">
        <v>190</v>
      </c>
      <c r="D94" s="54">
        <v>0</v>
      </c>
      <c r="E94" s="54">
        <v>0</v>
      </c>
      <c r="F94" s="54">
        <v>0</v>
      </c>
      <c r="G94" s="54">
        <v>0</v>
      </c>
      <c r="H94" s="54">
        <f>(((E94*(1+Parâmetros!B11)*(1+Parâmetros!C11)*(1+Parâmetros!D11))+(F94*(1+Parâmetros!C11)*(1+Parâmetros!D11)+(G94*(1+Parâmetros!D11))))/3)*(1+Parâmetros!E11)</f>
        <v>0</v>
      </c>
      <c r="I94" s="54">
        <f>H94*(1+Parâmetros!F11)</f>
        <v>0</v>
      </c>
      <c r="J94" s="54">
        <f>I94*(1+Parâmetros!G11)</f>
        <v>0</v>
      </c>
    </row>
    <row r="95" spans="1:10" s="74" customFormat="1" ht="18">
      <c r="A95" s="72" t="s">
        <v>191</v>
      </c>
      <c r="B95" s="73">
        <v>70000000</v>
      </c>
      <c r="C95" s="59" t="s">
        <v>192</v>
      </c>
      <c r="D95" s="60">
        <f aca="true" t="shared" si="17" ref="D95:J95">D96+D97</f>
        <v>343305.68</v>
      </c>
      <c r="E95" s="60">
        <f t="shared" si="17"/>
        <v>138280</v>
      </c>
      <c r="F95" s="60">
        <f t="shared" si="17"/>
        <v>481863.25</v>
      </c>
      <c r="G95" s="60">
        <f t="shared" si="17"/>
        <v>238010.34857142856</v>
      </c>
      <c r="H95" s="60">
        <f t="shared" si="17"/>
        <v>330454.1004935037</v>
      </c>
      <c r="I95" s="60">
        <f t="shared" si="17"/>
        <v>342350.4481112698</v>
      </c>
      <c r="J95" s="60">
        <f t="shared" si="17"/>
        <v>354332.7137951642</v>
      </c>
    </row>
    <row r="96" spans="1:256" s="74" customFormat="1" ht="18">
      <c r="A96" s="75"/>
      <c r="B96" s="73">
        <v>70000000</v>
      </c>
      <c r="C96" s="62" t="s">
        <v>193</v>
      </c>
      <c r="D96" s="54">
        <v>343305.68</v>
      </c>
      <c r="E96" s="54">
        <v>138280</v>
      </c>
      <c r="F96" s="54">
        <v>481863.25</v>
      </c>
      <c r="G96" s="54">
        <f>(138839.37/7*12)</f>
        <v>238010.34857142856</v>
      </c>
      <c r="H96" s="60">
        <f>(((E96*(1+Parâmetros!B11)*(1+Parâmetros!C11)*(1+Parâmetros!D11))+(F96*(1+Parâmetros!C11)*(1+Parâmetros!D11)+(G96*(1+Parâmetros!D11))))/3)*(1+Parâmetros!E11)</f>
        <v>330454.1004935037</v>
      </c>
      <c r="I96" s="60">
        <f>H96*(1+Parâmetros!F11)</f>
        <v>342350.4481112698</v>
      </c>
      <c r="J96" s="60">
        <f>I96*(1+Parâmetros!G11)</f>
        <v>354332.7137951642</v>
      </c>
      <c r="IV96" s="54">
        <v>100</v>
      </c>
    </row>
    <row r="97" spans="1:10" s="74" customFormat="1" ht="18">
      <c r="A97" s="75"/>
      <c r="B97" s="73">
        <v>70000000</v>
      </c>
      <c r="C97" s="62" t="s">
        <v>194</v>
      </c>
      <c r="D97" s="54"/>
      <c r="E97" s="54">
        <v>0</v>
      </c>
      <c r="F97" s="54"/>
      <c r="G97" s="54">
        <v>0</v>
      </c>
      <c r="H97" s="60">
        <f>(((E97*(1+Parâmetros!B11)*(1+Parâmetros!C11)*(1+Parâmetros!D11))+(F97*(1+Parâmetros!C11)*(1+Parâmetros!D11)+(G97*(1+Parâmetros!D11))))/3)*(1+Parâmetros!E11)</f>
        <v>0</v>
      </c>
      <c r="I97" s="60">
        <f>H97*(1+Parâmetros!F11)</f>
        <v>0</v>
      </c>
      <c r="J97" s="60">
        <f>I97*(1+Parâmetros!G11)</f>
        <v>0</v>
      </c>
    </row>
    <row r="98" spans="1:10" s="74" customFormat="1" ht="18">
      <c r="A98" s="46" t="s">
        <v>195</v>
      </c>
      <c r="B98" s="47">
        <v>80000000</v>
      </c>
      <c r="C98" s="48" t="s">
        <v>196</v>
      </c>
      <c r="D98" s="49">
        <f aca="true" t="shared" si="18" ref="D98:J98">D99+D100</f>
        <v>0</v>
      </c>
      <c r="E98" s="49">
        <f t="shared" si="18"/>
        <v>0</v>
      </c>
      <c r="F98" s="49">
        <f t="shared" si="18"/>
        <v>0</v>
      </c>
      <c r="G98" s="49">
        <f t="shared" si="18"/>
        <v>0</v>
      </c>
      <c r="H98" s="49">
        <f t="shared" si="18"/>
        <v>0</v>
      </c>
      <c r="I98" s="49">
        <f t="shared" si="18"/>
        <v>0</v>
      </c>
      <c r="J98" s="49">
        <f t="shared" si="18"/>
        <v>0</v>
      </c>
    </row>
    <row r="99" spans="1:10" s="74" customFormat="1" ht="18">
      <c r="A99" s="52"/>
      <c r="B99" s="47">
        <v>80000000</v>
      </c>
      <c r="C99" s="53" t="s">
        <v>197</v>
      </c>
      <c r="D99" s="54">
        <v>0</v>
      </c>
      <c r="E99" s="54">
        <v>0</v>
      </c>
      <c r="F99" s="54">
        <v>0</v>
      </c>
      <c r="G99" s="54">
        <v>0</v>
      </c>
      <c r="H99" s="55">
        <f>(((E99*(1+Parâmetros!B11)*(1+Parâmetros!C11)*(1+Parâmetros!D11))+(F99*(1+Parâmetros!C11)*(1+Parâmetros!D11)+(G99*(1+Parâmetros!D11))))/3)*(1+Parâmetros!E11)</f>
        <v>0</v>
      </c>
      <c r="I99" s="55">
        <f>H99*(1+Parâmetros!F11)</f>
        <v>0</v>
      </c>
      <c r="J99" s="55">
        <f>I99*(1+Parâmetros!G11)</f>
        <v>0</v>
      </c>
    </row>
    <row r="100" spans="1:10" s="74" customFormat="1" ht="18">
      <c r="A100" s="52"/>
      <c r="B100" s="47">
        <v>80000000</v>
      </c>
      <c r="C100" s="53" t="s">
        <v>198</v>
      </c>
      <c r="D100" s="54">
        <v>0</v>
      </c>
      <c r="E100" s="54">
        <v>0</v>
      </c>
      <c r="F100" s="54">
        <v>0</v>
      </c>
      <c r="G100" s="54">
        <v>0</v>
      </c>
      <c r="H100" s="55">
        <f>(((E100*(1+Parâmetros!B11)*(1+Parâmetros!C11)*(1+Parâmetros!D11))+(F100*(1+Parâmetros!C11)*(1+Parâmetros!D11)+(G100*(1+Parâmetros!D11))))/3)*(1+Parâmetros!E11)</f>
        <v>0</v>
      </c>
      <c r="I100" s="55">
        <f>H100*(1+Parâmetros!F11)</f>
        <v>0</v>
      </c>
      <c r="J100" s="55">
        <f>I100*(1+Parâmetros!G11)</f>
        <v>0</v>
      </c>
    </row>
    <row r="101" spans="1:256" s="69" customFormat="1" ht="30.75" customHeight="1">
      <c r="A101" s="46" t="s">
        <v>199</v>
      </c>
      <c r="B101" s="47" t="s">
        <v>200</v>
      </c>
      <c r="C101" s="48" t="s">
        <v>201</v>
      </c>
      <c r="D101" s="76">
        <f aca="true" t="shared" si="19" ref="D101:J101">D102+D103+D104+D105</f>
        <v>-9323219.130000003</v>
      </c>
      <c r="E101" s="76">
        <f t="shared" si="19"/>
        <v>-11482251.71</v>
      </c>
      <c r="F101" s="76">
        <f t="shared" si="19"/>
        <v>-12479468.876000002</v>
      </c>
      <c r="G101" s="76">
        <f t="shared" si="19"/>
        <v>-12628973.683714285</v>
      </c>
      <c r="H101" s="76">
        <f t="shared" si="19"/>
        <v>-14093090.412062423</v>
      </c>
      <c r="I101" s="76">
        <f t="shared" si="19"/>
        <v>-14312724.463132944</v>
      </c>
      <c r="J101" s="76">
        <f t="shared" si="19"/>
        <v>-14461101.31477572</v>
      </c>
      <c r="FW101" s="77"/>
      <c r="FX101" s="77"/>
      <c r="FY101" s="77"/>
      <c r="FZ101" s="77"/>
      <c r="GA101" s="77"/>
      <c r="GB101" s="77"/>
      <c r="GC101" s="77"/>
      <c r="GD101" s="77"/>
      <c r="GE101" s="77"/>
      <c r="GF101" s="77"/>
      <c r="GG101" s="77"/>
      <c r="GH101" s="77"/>
      <c r="GI101" s="77"/>
      <c r="GJ101" s="77"/>
      <c r="GK101" s="77"/>
      <c r="GL101" s="77"/>
      <c r="GM101" s="77"/>
      <c r="GN101" s="77"/>
      <c r="GO101" s="77"/>
      <c r="GP101" s="77"/>
      <c r="GQ101" s="77"/>
      <c r="GR101" s="77"/>
      <c r="GS101" s="77"/>
      <c r="GT101" s="77"/>
      <c r="GU101" s="77"/>
      <c r="GV101" s="77"/>
      <c r="GW101" s="77"/>
      <c r="GX101" s="77"/>
      <c r="GY101" s="77"/>
      <c r="GZ101" s="77"/>
      <c r="HA101" s="77"/>
      <c r="HB101" s="77"/>
      <c r="HC101" s="77"/>
      <c r="HD101" s="77"/>
      <c r="HE101" s="77"/>
      <c r="HF101" s="77"/>
      <c r="HG101" s="77"/>
      <c r="HH101" s="77"/>
      <c r="HI101" s="77"/>
      <c r="HJ101" s="77"/>
      <c r="HK101" s="77"/>
      <c r="HL101" s="77"/>
      <c r="HM101" s="77"/>
      <c r="HN101" s="77"/>
      <c r="HO101" s="77"/>
      <c r="HP101" s="77"/>
      <c r="HQ101" s="77"/>
      <c r="HR101" s="77"/>
      <c r="HS101" s="77"/>
      <c r="HT101" s="77"/>
      <c r="HU101" s="77"/>
      <c r="HV101" s="77"/>
      <c r="HW101" s="77"/>
      <c r="HX101" s="77"/>
      <c r="HY101" s="77"/>
      <c r="HZ101" s="77"/>
      <c r="IA101" s="77"/>
      <c r="IB101" s="77"/>
      <c r="IC101" s="77"/>
      <c r="ID101" s="77"/>
      <c r="IE101" s="77"/>
      <c r="IF101" s="77"/>
      <c r="IG101" s="77"/>
      <c r="IH101" s="77"/>
      <c r="II101" s="77"/>
      <c r="IJ101" s="77"/>
      <c r="IK101" s="77"/>
      <c r="IL101" s="77"/>
      <c r="IM101" s="77"/>
      <c r="IN101" s="77"/>
      <c r="IO101" s="77"/>
      <c r="IP101" s="77"/>
      <c r="IQ101" s="77"/>
      <c r="IR101" s="77"/>
      <c r="IS101" s="77"/>
      <c r="IT101" s="77"/>
      <c r="IU101" s="77"/>
      <c r="IV101" s="77"/>
    </row>
    <row r="102" spans="1:256" s="56" customFormat="1" ht="12.75">
      <c r="A102" s="52" t="s">
        <v>202</v>
      </c>
      <c r="B102" s="47" t="s">
        <v>203</v>
      </c>
      <c r="C102" s="53" t="s">
        <v>204</v>
      </c>
      <c r="D102" s="78">
        <v>-1521581.87</v>
      </c>
      <c r="E102" s="78">
        <v>-1592710.31</v>
      </c>
      <c r="F102" s="78">
        <v>-1767775.08</v>
      </c>
      <c r="G102" s="78">
        <f>-(((1710263.61-1277830.84-381021.91)/7*12)+1277830.84+381021.91)</f>
        <v>-1746985.652857143</v>
      </c>
      <c r="H102" s="79">
        <f>(((E102*(1+Parâmetros!B11)*(1+Parâmetros!C11)*(1+Parâmetros!D11))+(F102*(1+Parâmetros!C11)*(1+Parâmetros!D11)+(G102*(1+Parâmetros!D11))))/3)*(1+Parâmetros!E11)</f>
        <v>-1989603.9487794265</v>
      </c>
      <c r="I102" s="79">
        <f>H102*(1+Parâmetros!F11)</f>
        <v>-2061229.690935486</v>
      </c>
      <c r="J102" s="79">
        <f>I102*(1+Parâmetros!G11)</f>
        <v>-2133372.7301182277</v>
      </c>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s="56" customFormat="1" ht="12.75">
      <c r="A103" s="52" t="s">
        <v>205</v>
      </c>
      <c r="B103" s="47" t="s">
        <v>206</v>
      </c>
      <c r="C103" s="53" t="s">
        <v>207</v>
      </c>
      <c r="D103" s="76">
        <f aca="true" t="shared" si="20" ref="D103:J103">-((D39+D42+D47+D51+D52+D53)*0.2)</f>
        <v>-7523187.920000001</v>
      </c>
      <c r="E103" s="76">
        <f t="shared" si="20"/>
        <v>-9887297.19</v>
      </c>
      <c r="F103" s="76">
        <f t="shared" si="20"/>
        <v>-10694306.336000001</v>
      </c>
      <c r="G103" s="76">
        <f t="shared" si="20"/>
        <v>-10880723.330857143</v>
      </c>
      <c r="H103" s="76">
        <f t="shared" si="20"/>
        <v>-12095387.999053704</v>
      </c>
      <c r="I103" s="76">
        <f t="shared" si="20"/>
        <v>-12243104.763255911</v>
      </c>
      <c r="J103" s="76">
        <f t="shared" si="20"/>
        <v>-12319044.925402991</v>
      </c>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s="56" customFormat="1" ht="12.75">
      <c r="A104" s="52" t="s">
        <v>208</v>
      </c>
      <c r="B104" s="47" t="s">
        <v>209</v>
      </c>
      <c r="C104" s="53" t="s">
        <v>210</v>
      </c>
      <c r="D104" s="78">
        <f>-(9323219.13-1521581.87-7523187.92-34552.06)</f>
        <v>-243897.28000000078</v>
      </c>
      <c r="E104" s="78">
        <f>-(11482251.71-1592710.31-9887297.19)</f>
        <v>-2244.210000000894</v>
      </c>
      <c r="F104" s="78">
        <f>-(12479354.21-1767775.08-10694306.34)</f>
        <v>-17272.79000000097</v>
      </c>
      <c r="G104" s="78">
        <f>-(8200532.94-1710263.61-6489004.63)</f>
        <v>-1264.7000000001863</v>
      </c>
      <c r="H104" s="79">
        <f>(((E104*(1+Parâmetros!B11)*(1+Parâmetros!C11)*(1+Parâmetros!D11))+(F104*(1+Parâmetros!C11)*(1+Parâmetros!D11)+(G104*(1+Parâmetros!D11))))/3)*(1+Parâmetros!E11)</f>
        <v>-8054.35415116832</v>
      </c>
      <c r="I104" s="79">
        <f>H104*(1+Parâmetros!F11)</f>
        <v>-8344.310900610379</v>
      </c>
      <c r="J104" s="79">
        <f>I104*(1+Parâmetros!G11)</f>
        <v>-8636.361782131742</v>
      </c>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s="56" customFormat="1" ht="12.75">
      <c r="A105" s="52" t="s">
        <v>211</v>
      </c>
      <c r="B105" s="47" t="s">
        <v>212</v>
      </c>
      <c r="C105" s="53" t="s">
        <v>213</v>
      </c>
      <c r="D105" s="78">
        <v>-34552.06</v>
      </c>
      <c r="E105" s="78">
        <v>0</v>
      </c>
      <c r="F105" s="78">
        <v>-114.67</v>
      </c>
      <c r="G105" s="78">
        <v>0</v>
      </c>
      <c r="H105" s="79">
        <f>(((E105*(1+Parâmetros!B11)*(1+Parâmetros!C11)*(1+Parâmetros!D11))+(F105*(1+Parâmetros!C11)*(1+Parâmetros!D11)+(G105*(1+Parâmetros!D11))))/3)*(1+Parâmetros!E11)</f>
        <v>-44.11007812440671</v>
      </c>
      <c r="I105" s="79">
        <f>H105*(1+Parâmetros!F11)</f>
        <v>-45.698040936885356</v>
      </c>
      <c r="J105" s="79">
        <f>I105*(1+Parâmetros!G11)</f>
        <v>-47.29747236967634</v>
      </c>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s="56" customFormat="1" ht="12.75">
      <c r="A106" s="80"/>
      <c r="B106" s="81"/>
      <c r="C106" s="82"/>
      <c r="D106" s="83"/>
      <c r="E106" s="83"/>
      <c r="F106" s="83"/>
      <c r="G106" s="83"/>
      <c r="H106" s="55"/>
      <c r="I106" s="55"/>
      <c r="J106" s="55"/>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s="88" customFormat="1" ht="25.5" customHeight="1">
      <c r="A107" s="84"/>
      <c r="B107" s="85"/>
      <c r="C107" s="86" t="s">
        <v>214</v>
      </c>
      <c r="D107" s="87">
        <f aca="true" t="shared" si="21" ref="D107:J107">D8+D76+D95+D98+D101</f>
        <v>87416446.19999999</v>
      </c>
      <c r="E107" s="87">
        <f t="shared" si="21"/>
        <v>105621076.38999999</v>
      </c>
      <c r="F107" s="87">
        <f t="shared" si="21"/>
        <v>121154255.77399997</v>
      </c>
      <c r="G107" s="87">
        <f t="shared" si="21"/>
        <v>124991913.20067756</v>
      </c>
      <c r="H107" s="87">
        <f t="shared" si="21"/>
        <v>139600793.345218</v>
      </c>
      <c r="I107" s="87">
        <f t="shared" si="21"/>
        <v>147863799.42555243</v>
      </c>
      <c r="J107" s="87">
        <f t="shared" si="21"/>
        <v>154926860.44640666</v>
      </c>
      <c r="FW107" s="89"/>
      <c r="FX107" s="89"/>
      <c r="FY107" s="89"/>
      <c r="FZ107" s="89"/>
      <c r="GA107" s="89"/>
      <c r="GB107" s="89"/>
      <c r="GC107" s="89"/>
      <c r="GD107" s="89"/>
      <c r="GE107" s="89"/>
      <c r="GF107" s="89"/>
      <c r="GG107" s="89"/>
      <c r="GH107" s="89"/>
      <c r="GI107" s="89"/>
      <c r="GJ107" s="89"/>
      <c r="GK107" s="89"/>
      <c r="GL107" s="89"/>
      <c r="GM107" s="89"/>
      <c r="GN107" s="89"/>
      <c r="GO107" s="89"/>
      <c r="GP107" s="89"/>
      <c r="GQ107" s="89"/>
      <c r="GR107" s="89"/>
      <c r="GS107" s="89"/>
      <c r="GT107" s="89"/>
      <c r="GU107" s="89"/>
      <c r="GV107" s="89"/>
      <c r="GW107" s="89"/>
      <c r="GX107" s="89"/>
      <c r="GY107" s="89"/>
      <c r="GZ107" s="89"/>
      <c r="HA107" s="89"/>
      <c r="HB107" s="89"/>
      <c r="HC107" s="89"/>
      <c r="HD107" s="89"/>
      <c r="HE107" s="89"/>
      <c r="HF107" s="89"/>
      <c r="HG107" s="89"/>
      <c r="HH107" s="89"/>
      <c r="HI107" s="89"/>
      <c r="HJ107" s="89"/>
      <c r="HK107" s="89"/>
      <c r="HL107" s="89"/>
      <c r="HM107" s="89"/>
      <c r="HN107" s="89"/>
      <c r="HO107" s="89"/>
      <c r="HP107" s="89"/>
      <c r="HQ107" s="89"/>
      <c r="HR107" s="89"/>
      <c r="HS107" s="89"/>
      <c r="HT107" s="89"/>
      <c r="HU107" s="89"/>
      <c r="HV107" s="89"/>
      <c r="HW107" s="89"/>
      <c r="HX107" s="89"/>
      <c r="HY107" s="89"/>
      <c r="HZ107" s="89"/>
      <c r="IA107" s="89"/>
      <c r="IB107" s="89"/>
      <c r="IC107" s="89"/>
      <c r="ID107" s="89"/>
      <c r="IE107" s="89"/>
      <c r="IF107" s="89"/>
      <c r="IG107" s="89"/>
      <c r="IH107" s="89"/>
      <c r="II107" s="89"/>
      <c r="IJ107" s="89"/>
      <c r="IK107" s="89"/>
      <c r="IL107" s="89"/>
      <c r="IM107" s="89"/>
      <c r="IN107" s="89"/>
      <c r="IO107" s="89"/>
      <c r="IP107" s="89"/>
      <c r="IQ107" s="89"/>
      <c r="IR107" s="89"/>
      <c r="IS107" s="89"/>
      <c r="IT107" s="89"/>
      <c r="IU107" s="89"/>
      <c r="IV107" s="89"/>
    </row>
    <row r="108" spans="1:256" s="56" customFormat="1" ht="12.75">
      <c r="A108" s="90"/>
      <c r="B108" s="91"/>
      <c r="C108" s="90"/>
      <c r="D108" s="92"/>
      <c r="E108" s="92"/>
      <c r="F108" s="92"/>
      <c r="G108" s="92"/>
      <c r="H108" s="93"/>
      <c r="I108" s="94"/>
      <c r="J108" s="94"/>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s="101" customFormat="1" ht="15">
      <c r="A109" s="95" t="s">
        <v>215</v>
      </c>
      <c r="B109" s="96"/>
      <c r="C109" s="97"/>
      <c r="D109" s="98"/>
      <c r="E109" s="98"/>
      <c r="F109" s="98"/>
      <c r="G109" s="98"/>
      <c r="H109" s="99"/>
      <c r="I109" s="100"/>
      <c r="J109" s="100"/>
      <c r="FW109" s="102"/>
      <c r="FX109" s="102"/>
      <c r="FY109" s="102"/>
      <c r="FZ109" s="102"/>
      <c r="GA109" s="102"/>
      <c r="GB109" s="102"/>
      <c r="GC109" s="102"/>
      <c r="GD109" s="102"/>
      <c r="GE109" s="102"/>
      <c r="GF109" s="102"/>
      <c r="GG109" s="102"/>
      <c r="GH109" s="102"/>
      <c r="GI109" s="102"/>
      <c r="GJ109" s="102"/>
      <c r="GK109" s="102"/>
      <c r="GL109" s="102"/>
      <c r="GM109" s="102"/>
      <c r="GN109" s="102"/>
      <c r="GO109" s="102"/>
      <c r="GP109" s="102"/>
      <c r="GQ109" s="102"/>
      <c r="GR109" s="102"/>
      <c r="GS109" s="102"/>
      <c r="GT109" s="102"/>
      <c r="GU109" s="102"/>
      <c r="GV109" s="102"/>
      <c r="GW109" s="102"/>
      <c r="GX109" s="102"/>
      <c r="GY109" s="102"/>
      <c r="GZ109" s="102"/>
      <c r="HA109" s="102"/>
      <c r="HB109" s="102"/>
      <c r="HC109" s="102"/>
      <c r="HD109" s="102"/>
      <c r="HE109" s="102"/>
      <c r="HF109" s="102"/>
      <c r="HG109" s="102"/>
      <c r="HH109" s="102"/>
      <c r="HI109" s="102"/>
      <c r="HJ109" s="102"/>
      <c r="HK109" s="102"/>
      <c r="HL109" s="102"/>
      <c r="HM109" s="102"/>
      <c r="HN109" s="102"/>
      <c r="HO109" s="102"/>
      <c r="HP109" s="102"/>
      <c r="HQ109" s="102"/>
      <c r="HR109" s="102"/>
      <c r="HS109" s="102"/>
      <c r="HT109" s="102"/>
      <c r="HU109" s="102"/>
      <c r="HV109" s="102"/>
      <c r="HW109" s="102"/>
      <c r="HX109" s="102"/>
      <c r="HY109" s="102"/>
      <c r="HZ109" s="102"/>
      <c r="IA109" s="102"/>
      <c r="IB109" s="102"/>
      <c r="IC109" s="102"/>
      <c r="ID109" s="102"/>
      <c r="IE109" s="102"/>
      <c r="IF109" s="102"/>
      <c r="IG109" s="102"/>
      <c r="IH109" s="102"/>
      <c r="II109" s="102"/>
      <c r="IJ109" s="102"/>
      <c r="IK109" s="102"/>
      <c r="IL109" s="102"/>
      <c r="IM109" s="102"/>
      <c r="IN109" s="102"/>
      <c r="IO109" s="102"/>
      <c r="IP109" s="102"/>
      <c r="IQ109" s="102"/>
      <c r="IR109" s="102"/>
      <c r="IS109" s="102"/>
      <c r="IT109" s="102"/>
      <c r="IU109" s="102"/>
      <c r="IV109" s="102"/>
    </row>
    <row r="110" spans="1:256" s="56" customFormat="1" ht="14.25">
      <c r="A110" s="103" t="s">
        <v>216</v>
      </c>
      <c r="B110" s="91"/>
      <c r="C110" s="90"/>
      <c r="D110" s="92"/>
      <c r="E110" s="92"/>
      <c r="F110" s="92"/>
      <c r="G110" s="92"/>
      <c r="H110" s="93"/>
      <c r="I110" s="94"/>
      <c r="J110" s="94"/>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s="56" customFormat="1" ht="14.25">
      <c r="A111" s="103" t="s">
        <v>217</v>
      </c>
      <c r="B111" s="91"/>
      <c r="C111" s="90"/>
      <c r="D111" s="92"/>
      <c r="E111" s="92"/>
      <c r="F111" s="92"/>
      <c r="G111" s="92"/>
      <c r="H111" s="93"/>
      <c r="I111" s="94"/>
      <c r="J111" s="94"/>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s="56" customFormat="1" ht="15.75">
      <c r="A112" s="104" t="s">
        <v>218</v>
      </c>
      <c r="B112" s="91"/>
      <c r="C112" s="90"/>
      <c r="D112" s="92"/>
      <c r="E112" s="92"/>
      <c r="F112" s="92"/>
      <c r="G112" s="92"/>
      <c r="H112" s="93"/>
      <c r="I112" s="94"/>
      <c r="J112" s="94"/>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s="56" customFormat="1" ht="14.25">
      <c r="A113" s="103" t="s">
        <v>219</v>
      </c>
      <c r="B113" s="91"/>
      <c r="C113" s="90"/>
      <c r="D113" s="92"/>
      <c r="E113" s="92"/>
      <c r="F113" s="92"/>
      <c r="G113" s="92"/>
      <c r="H113" s="93"/>
      <c r="I113" s="94"/>
      <c r="J113" s="94"/>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s="56" customFormat="1" ht="14.25">
      <c r="A114" s="103" t="s">
        <v>220</v>
      </c>
      <c r="B114" s="91"/>
      <c r="C114" s="90"/>
      <c r="D114" s="92"/>
      <c r="E114" s="92"/>
      <c r="F114" s="92"/>
      <c r="G114" s="92"/>
      <c r="H114" s="93"/>
      <c r="I114" s="94"/>
      <c r="J114" s="9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s="56" customFormat="1" ht="15.75">
      <c r="A115" s="546" t="str">
        <f>Parâmetros!A7</f>
        <v>Município de Ivoti</v>
      </c>
      <c r="B115" s="546"/>
      <c r="C115" s="546"/>
      <c r="D115" s="546"/>
      <c r="E115" s="546"/>
      <c r="F115" s="546"/>
      <c r="G115" s="546"/>
      <c r="H115" s="546"/>
      <c r="I115" s="546"/>
      <c r="J115" s="546"/>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s="56" customFormat="1" ht="15.75">
      <c r="A116" s="547" t="str">
        <f>Parâmetros!A8</f>
        <v>LEI DE DIRETRIZES ORÇAMENTÁRIAS  PARA 2024</v>
      </c>
      <c r="B116" s="547"/>
      <c r="C116" s="547"/>
      <c r="D116" s="547"/>
      <c r="E116" s="547"/>
      <c r="F116" s="547"/>
      <c r="G116" s="547"/>
      <c r="H116" s="547"/>
      <c r="I116" s="547"/>
      <c r="J116" s="547"/>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s="56" customFormat="1" ht="15.75">
      <c r="A117" s="548" t="s">
        <v>221</v>
      </c>
      <c r="B117" s="548"/>
      <c r="C117" s="548"/>
      <c r="D117" s="548"/>
      <c r="E117" s="548"/>
      <c r="F117" s="548"/>
      <c r="G117" s="548"/>
      <c r="H117" s="548"/>
      <c r="I117" s="548"/>
      <c r="J117" s="548"/>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s="56" customFormat="1" ht="15">
      <c r="A118" s="90"/>
      <c r="B118" s="91"/>
      <c r="C118" s="90"/>
      <c r="D118" s="92"/>
      <c r="E118" s="92"/>
      <c r="F118" s="92"/>
      <c r="G118" s="92"/>
      <c r="H118" s="94"/>
      <c r="I118" s="94"/>
      <c r="J118" s="29" t="s">
        <v>17</v>
      </c>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s="35" customFormat="1" ht="15.75">
      <c r="A119" s="549" t="s">
        <v>222</v>
      </c>
      <c r="B119" s="549"/>
      <c r="C119" s="550" t="s">
        <v>223</v>
      </c>
      <c r="D119" s="105" t="s">
        <v>224</v>
      </c>
      <c r="E119" s="105" t="s">
        <v>224</v>
      </c>
      <c r="F119" s="105" t="s">
        <v>224</v>
      </c>
      <c r="G119" s="106" t="s">
        <v>225</v>
      </c>
      <c r="H119" s="106" t="s">
        <v>23</v>
      </c>
      <c r="I119" s="107" t="s">
        <v>23</v>
      </c>
      <c r="J119" s="108" t="s">
        <v>23</v>
      </c>
      <c r="FW119" s="36"/>
      <c r="FX119" s="36"/>
      <c r="FY119" s="36"/>
      <c r="FZ119" s="36"/>
      <c r="GA119" s="36"/>
      <c r="GB119" s="36"/>
      <c r="GC119" s="36"/>
      <c r="GD119" s="36"/>
      <c r="GE119" s="36"/>
      <c r="GF119" s="36"/>
      <c r="GG119" s="36"/>
      <c r="GH119" s="36"/>
      <c r="GI119" s="36"/>
      <c r="GJ119" s="36"/>
      <c r="GK119" s="36"/>
      <c r="GL119" s="36"/>
      <c r="GM119" s="36"/>
      <c r="GN119" s="36"/>
      <c r="GO119" s="36"/>
      <c r="GP119" s="36"/>
      <c r="GQ119" s="36"/>
      <c r="GR119" s="36"/>
      <c r="GS119" s="36"/>
      <c r="GT119" s="36"/>
      <c r="GU119" s="36"/>
      <c r="GV119" s="36"/>
      <c r="GW119" s="36"/>
      <c r="GX119" s="36"/>
      <c r="GY119" s="36"/>
      <c r="GZ119" s="36"/>
      <c r="HA119" s="36"/>
      <c r="HB119" s="36"/>
      <c r="HC119" s="36"/>
      <c r="HD119" s="36"/>
      <c r="HE119" s="36"/>
      <c r="HF119" s="36"/>
      <c r="HG119" s="36"/>
      <c r="HH119" s="36"/>
      <c r="HI119" s="36"/>
      <c r="HJ119" s="36"/>
      <c r="HK119" s="36"/>
      <c r="HL119" s="36"/>
      <c r="HM119" s="36"/>
      <c r="HN119" s="36"/>
      <c r="HO119" s="36"/>
      <c r="HP119" s="36"/>
      <c r="HQ119" s="36"/>
      <c r="HR119" s="36"/>
      <c r="HS119" s="36"/>
      <c r="HT119" s="36"/>
      <c r="HU119" s="36"/>
      <c r="HV119" s="36"/>
      <c r="HW119" s="36"/>
      <c r="HX119" s="36"/>
      <c r="HY119" s="36"/>
      <c r="HZ119" s="36"/>
      <c r="IA119" s="36"/>
      <c r="IB119" s="36"/>
      <c r="IC119" s="36"/>
      <c r="ID119" s="36"/>
      <c r="IE119" s="36"/>
      <c r="IF119" s="36"/>
      <c r="IG119" s="36"/>
      <c r="IH119" s="36"/>
      <c r="II119" s="36"/>
      <c r="IJ119" s="36"/>
      <c r="IK119" s="36"/>
      <c r="IL119" s="36"/>
      <c r="IM119" s="36"/>
      <c r="IN119" s="36"/>
      <c r="IO119" s="36"/>
      <c r="IP119" s="36"/>
      <c r="IQ119" s="36"/>
      <c r="IR119" s="36"/>
      <c r="IS119" s="36"/>
      <c r="IT119" s="36"/>
      <c r="IU119" s="36"/>
      <c r="IV119" s="36"/>
    </row>
    <row r="120" spans="1:256" s="35" customFormat="1" ht="27.75" customHeight="1">
      <c r="A120" s="549"/>
      <c r="B120" s="549"/>
      <c r="C120" s="550"/>
      <c r="D120" s="109">
        <f>D7</f>
        <v>2020</v>
      </c>
      <c r="E120" s="110">
        <f aca="true" t="shared" si="22" ref="E120:J120">D120+1</f>
        <v>2021</v>
      </c>
      <c r="F120" s="110">
        <f t="shared" si="22"/>
        <v>2022</v>
      </c>
      <c r="G120" s="110">
        <f t="shared" si="22"/>
        <v>2023</v>
      </c>
      <c r="H120" s="110">
        <f t="shared" si="22"/>
        <v>2024</v>
      </c>
      <c r="I120" s="110">
        <f t="shared" si="22"/>
        <v>2025</v>
      </c>
      <c r="J120" s="110">
        <f t="shared" si="22"/>
        <v>2026</v>
      </c>
      <c r="FW120" s="36"/>
      <c r="FX120" s="36"/>
      <c r="FY120" s="36"/>
      <c r="FZ120" s="36"/>
      <c r="GA120" s="36"/>
      <c r="GB120" s="36"/>
      <c r="GC120" s="36"/>
      <c r="GD120" s="36"/>
      <c r="GE120" s="36"/>
      <c r="GF120" s="36"/>
      <c r="GG120" s="36"/>
      <c r="GH120" s="36"/>
      <c r="GI120" s="36"/>
      <c r="GJ120" s="36"/>
      <c r="GK120" s="36"/>
      <c r="GL120" s="36"/>
      <c r="GM120" s="36"/>
      <c r="GN120" s="36"/>
      <c r="GO120" s="36"/>
      <c r="GP120" s="36"/>
      <c r="GQ120" s="36"/>
      <c r="GR120" s="36"/>
      <c r="GS120" s="36"/>
      <c r="GT120" s="36"/>
      <c r="GU120" s="36"/>
      <c r="GV120" s="36"/>
      <c r="GW120" s="36"/>
      <c r="GX120" s="36"/>
      <c r="GY120" s="36"/>
      <c r="GZ120" s="36"/>
      <c r="HA120" s="36"/>
      <c r="HB120" s="36"/>
      <c r="HC120" s="36"/>
      <c r="HD120" s="36"/>
      <c r="HE120" s="36"/>
      <c r="HF120" s="36"/>
      <c r="HG120" s="36"/>
      <c r="HH120" s="36"/>
      <c r="HI120" s="36"/>
      <c r="HJ120" s="36"/>
      <c r="HK120" s="36"/>
      <c r="HL120" s="36"/>
      <c r="HM120" s="36"/>
      <c r="HN120" s="36"/>
      <c r="HO120" s="36"/>
      <c r="HP120" s="36"/>
      <c r="HQ120" s="36"/>
      <c r="HR120" s="36"/>
      <c r="HS120" s="36"/>
      <c r="HT120" s="36"/>
      <c r="HU120" s="36"/>
      <c r="HV120" s="36"/>
      <c r="HW120" s="36"/>
      <c r="HX120" s="36"/>
      <c r="HY120" s="36"/>
      <c r="HZ120" s="36"/>
      <c r="IA120" s="36"/>
      <c r="IB120" s="36"/>
      <c r="IC120" s="36"/>
      <c r="ID120" s="36"/>
      <c r="IE120" s="36"/>
      <c r="IF120" s="36"/>
      <c r="IG120" s="36"/>
      <c r="IH120" s="36"/>
      <c r="II120" s="36"/>
      <c r="IJ120" s="36"/>
      <c r="IK120" s="36"/>
      <c r="IL120" s="36"/>
      <c r="IM120" s="36"/>
      <c r="IN120" s="36"/>
      <c r="IO120" s="36"/>
      <c r="IP120" s="36"/>
      <c r="IQ120" s="36"/>
      <c r="IR120" s="36"/>
      <c r="IS120" s="36"/>
      <c r="IT120" s="36"/>
      <c r="IU120" s="36"/>
      <c r="IV120" s="36"/>
    </row>
    <row r="121" spans="1:256" s="50" customFormat="1" ht="15.75">
      <c r="A121" s="551" t="s">
        <v>226</v>
      </c>
      <c r="B121" s="551"/>
      <c r="C121" s="111" t="s">
        <v>227</v>
      </c>
      <c r="D121" s="87">
        <f aca="true" t="shared" si="23" ref="D121:J121">D122+D127+D132</f>
        <v>71375546.78</v>
      </c>
      <c r="E121" s="87">
        <f t="shared" si="23"/>
        <v>78048855.85999998</v>
      </c>
      <c r="F121" s="112">
        <f t="shared" si="23"/>
        <v>94602929.30000001</v>
      </c>
      <c r="G121" s="113">
        <f t="shared" si="23"/>
        <v>96024162.78</v>
      </c>
      <c r="H121" s="113">
        <f t="shared" si="23"/>
        <v>108053897.60340688</v>
      </c>
      <c r="I121" s="113">
        <f t="shared" si="23"/>
        <v>116169574.17522313</v>
      </c>
      <c r="J121" s="113">
        <f t="shared" si="23"/>
        <v>122145570.3369368</v>
      </c>
      <c r="FW121" s="114"/>
      <c r="FX121" s="114"/>
      <c r="FY121" s="114"/>
      <c r="FZ121" s="114"/>
      <c r="GA121" s="114"/>
      <c r="GB121" s="114"/>
      <c r="GC121" s="114"/>
      <c r="GD121" s="114"/>
      <c r="GE121" s="114"/>
      <c r="GF121" s="114"/>
      <c r="GG121" s="114"/>
      <c r="GH121" s="114"/>
      <c r="GI121" s="114"/>
      <c r="GJ121" s="114"/>
      <c r="GK121" s="114"/>
      <c r="GL121" s="114"/>
      <c r="GM121" s="114"/>
      <c r="GN121" s="114"/>
      <c r="GO121" s="114"/>
      <c r="GP121" s="114"/>
      <c r="GQ121" s="114"/>
      <c r="GR121" s="114"/>
      <c r="GS121" s="114"/>
      <c r="GT121" s="114"/>
      <c r="GU121" s="114"/>
      <c r="GV121" s="114"/>
      <c r="GW121" s="114"/>
      <c r="GX121" s="114"/>
      <c r="GY121" s="114"/>
      <c r="GZ121" s="114"/>
      <c r="HA121" s="114"/>
      <c r="HB121" s="114"/>
      <c r="HC121" s="114"/>
      <c r="HD121" s="114"/>
      <c r="HE121" s="114"/>
      <c r="HF121" s="114"/>
      <c r="HG121" s="114"/>
      <c r="HH121" s="114"/>
      <c r="HI121" s="114"/>
      <c r="HJ121" s="114"/>
      <c r="HK121" s="114"/>
      <c r="HL121" s="114"/>
      <c r="HM121" s="114"/>
      <c r="HN121" s="114"/>
      <c r="HO121" s="114"/>
      <c r="HP121" s="114"/>
      <c r="HQ121" s="114"/>
      <c r="HR121" s="114"/>
      <c r="HS121" s="114"/>
      <c r="HT121" s="114"/>
      <c r="HU121" s="114"/>
      <c r="HV121" s="114"/>
      <c r="HW121" s="114"/>
      <c r="HX121" s="114"/>
      <c r="HY121" s="114"/>
      <c r="HZ121" s="114"/>
      <c r="IA121" s="114"/>
      <c r="IB121" s="114"/>
      <c r="IC121" s="114"/>
      <c r="ID121" s="114"/>
      <c r="IE121" s="114"/>
      <c r="IF121" s="114"/>
      <c r="IG121" s="114"/>
      <c r="IH121" s="114"/>
      <c r="II121" s="114"/>
      <c r="IJ121" s="114"/>
      <c r="IK121" s="114"/>
      <c r="IL121" s="114"/>
      <c r="IM121" s="114"/>
      <c r="IN121" s="114"/>
      <c r="IO121" s="114"/>
      <c r="IP121" s="114"/>
      <c r="IQ121" s="114"/>
      <c r="IR121" s="114"/>
      <c r="IS121" s="114"/>
      <c r="IT121" s="114"/>
      <c r="IU121" s="114"/>
      <c r="IV121" s="114"/>
    </row>
    <row r="122" spans="1:256" s="50" customFormat="1" ht="15.75">
      <c r="A122" s="551" t="s">
        <v>228</v>
      </c>
      <c r="B122" s="551"/>
      <c r="C122" s="111" t="s">
        <v>229</v>
      </c>
      <c r="D122" s="87">
        <f aca="true" t="shared" si="24" ref="D122:J122">SUM(D123:D126)</f>
        <v>39992255.25</v>
      </c>
      <c r="E122" s="87">
        <f t="shared" si="24"/>
        <v>40066325.129999995</v>
      </c>
      <c r="F122" s="87">
        <f t="shared" si="24"/>
        <v>45464389.33</v>
      </c>
      <c r="G122" s="113">
        <f t="shared" si="24"/>
        <v>47304298.065714285</v>
      </c>
      <c r="H122" s="113">
        <f t="shared" si="24"/>
        <v>52795547.61534606</v>
      </c>
      <c r="I122" s="113">
        <f t="shared" si="24"/>
        <v>55184271.14077942</v>
      </c>
      <c r="J122" s="113">
        <f t="shared" si="24"/>
        <v>57806635.332422726</v>
      </c>
      <c r="FW122" s="114"/>
      <c r="FX122" s="114"/>
      <c r="FY122" s="114"/>
      <c r="FZ122" s="114"/>
      <c r="GA122" s="114"/>
      <c r="GB122" s="114"/>
      <c r="GC122" s="114"/>
      <c r="GD122" s="114"/>
      <c r="GE122" s="114"/>
      <c r="GF122" s="114"/>
      <c r="GG122" s="114"/>
      <c r="GH122" s="114"/>
      <c r="GI122" s="114"/>
      <c r="GJ122" s="114"/>
      <c r="GK122" s="114"/>
      <c r="GL122" s="114"/>
      <c r="GM122" s="114"/>
      <c r="GN122" s="114"/>
      <c r="GO122" s="114"/>
      <c r="GP122" s="114"/>
      <c r="GQ122" s="114"/>
      <c r="GR122" s="114"/>
      <c r="GS122" s="114"/>
      <c r="GT122" s="114"/>
      <c r="GU122" s="114"/>
      <c r="GV122" s="114"/>
      <c r="GW122" s="114"/>
      <c r="GX122" s="114"/>
      <c r="GY122" s="114"/>
      <c r="GZ122" s="114"/>
      <c r="HA122" s="114"/>
      <c r="HB122" s="114"/>
      <c r="HC122" s="114"/>
      <c r="HD122" s="114"/>
      <c r="HE122" s="114"/>
      <c r="HF122" s="114"/>
      <c r="HG122" s="114"/>
      <c r="HH122" s="114"/>
      <c r="HI122" s="114"/>
      <c r="HJ122" s="114"/>
      <c r="HK122" s="114"/>
      <c r="HL122" s="114"/>
      <c r="HM122" s="114"/>
      <c r="HN122" s="114"/>
      <c r="HO122" s="114"/>
      <c r="HP122" s="114"/>
      <c r="HQ122" s="114"/>
      <c r="HR122" s="114"/>
      <c r="HS122" s="114"/>
      <c r="HT122" s="114"/>
      <c r="HU122" s="114"/>
      <c r="HV122" s="114"/>
      <c r="HW122" s="114"/>
      <c r="HX122" s="114"/>
      <c r="HY122" s="114"/>
      <c r="HZ122" s="114"/>
      <c r="IA122" s="114"/>
      <c r="IB122" s="114"/>
      <c r="IC122" s="114"/>
      <c r="ID122" s="114"/>
      <c r="IE122" s="114"/>
      <c r="IF122" s="114"/>
      <c r="IG122" s="114"/>
      <c r="IH122" s="114"/>
      <c r="II122" s="114"/>
      <c r="IJ122" s="114"/>
      <c r="IK122" s="114"/>
      <c r="IL122" s="114"/>
      <c r="IM122" s="114"/>
      <c r="IN122" s="114"/>
      <c r="IO122" s="114"/>
      <c r="IP122" s="114"/>
      <c r="IQ122" s="114"/>
      <c r="IR122" s="114"/>
      <c r="IS122" s="114"/>
      <c r="IT122" s="114"/>
      <c r="IU122" s="114"/>
      <c r="IV122" s="114"/>
    </row>
    <row r="123" spans="1:256" s="50" customFormat="1" ht="15">
      <c r="A123" s="552" t="s">
        <v>228</v>
      </c>
      <c r="B123" s="552"/>
      <c r="C123" s="115" t="s">
        <v>230</v>
      </c>
      <c r="D123" s="54">
        <v>31799599.66</v>
      </c>
      <c r="E123" s="54">
        <f>(38467523.19-6986878.45)</f>
        <v>31480644.74</v>
      </c>
      <c r="F123" s="54">
        <f>(44405668.14-7250585.81)</f>
        <v>37155082.33</v>
      </c>
      <c r="G123" s="54">
        <f>(22294926.53/7*12)</f>
        <v>38219874.05142857</v>
      </c>
      <c r="H123" s="55">
        <f>(((E123*(1+Parâmetros!B11)*(1+Parâmetros!C11)*(1+Parâmetros!D11))+(F123*(1+Parâmetros!C11)*(1+Parâmetros!D11)+(G123*(1+Parâmetros!D11))))/3)*(1+Parâmetros!E11)*(1+Parâmetros!E13)*(1+Parâmetros!E18)</f>
        <v>43718074.5624751</v>
      </c>
      <c r="I123" s="116">
        <f>H123*(1+Parâmetros!F11)*(1+Parâmetros!F13)*(1+Parâmetros!F18)</f>
        <v>45980362.51047441</v>
      </c>
      <c r="J123" s="116">
        <f>I123*(1+Parâmetros!G11)*(1+Parâmetros!G13)*(1+Parâmetros!G18)</f>
        <v>48313038.2613558</v>
      </c>
      <c r="FW123" s="51"/>
      <c r="FX123" s="51"/>
      <c r="FY123" s="51"/>
      <c r="FZ123" s="51"/>
      <c r="GA123" s="51"/>
      <c r="GB123" s="51"/>
      <c r="GC123" s="51"/>
      <c r="GD123" s="51"/>
      <c r="GE123" s="51"/>
      <c r="GF123" s="51"/>
      <c r="GG123" s="51"/>
      <c r="GH123" s="51"/>
      <c r="GI123" s="51"/>
      <c r="GJ123" s="51"/>
      <c r="GK123" s="51"/>
      <c r="GL123" s="51"/>
      <c r="GM123" s="51"/>
      <c r="GN123" s="51"/>
      <c r="GO123" s="51"/>
      <c r="GP123" s="51"/>
      <c r="GQ123" s="51"/>
      <c r="GR123" s="51"/>
      <c r="GS123" s="51"/>
      <c r="GT123" s="51"/>
      <c r="GU123" s="51"/>
      <c r="GV123" s="51"/>
      <c r="GW123" s="51"/>
      <c r="GX123" s="51"/>
      <c r="GY123" s="51"/>
      <c r="GZ123" s="51"/>
      <c r="HA123" s="51"/>
      <c r="HB123" s="51"/>
      <c r="HC123" s="51"/>
      <c r="HD123" s="51"/>
      <c r="HE123" s="51"/>
      <c r="HF123" s="51"/>
      <c r="HG123" s="51"/>
      <c r="HH123" s="51"/>
      <c r="HI123" s="51"/>
      <c r="HJ123" s="51"/>
      <c r="HK123" s="51"/>
      <c r="HL123" s="51"/>
      <c r="HM123" s="51"/>
      <c r="HN123" s="51"/>
      <c r="HO123" s="51"/>
      <c r="HP123" s="51"/>
      <c r="HQ123" s="51"/>
      <c r="HR123" s="51"/>
      <c r="HS123" s="51"/>
      <c r="HT123" s="51"/>
      <c r="HU123" s="51"/>
      <c r="HV123" s="51"/>
      <c r="HW123" s="51"/>
      <c r="HX123" s="51"/>
      <c r="HY123" s="51"/>
      <c r="HZ123" s="51"/>
      <c r="IA123" s="51"/>
      <c r="IB123" s="51"/>
      <c r="IC123" s="51"/>
      <c r="ID123" s="51"/>
      <c r="IE123" s="51"/>
      <c r="IF123" s="51"/>
      <c r="IG123" s="51"/>
      <c r="IH123" s="51"/>
      <c r="II123" s="51"/>
      <c r="IJ123" s="51"/>
      <c r="IK123" s="51"/>
      <c r="IL123" s="51"/>
      <c r="IM123" s="51"/>
      <c r="IN123" s="51"/>
      <c r="IO123" s="51"/>
      <c r="IP123" s="51"/>
      <c r="IQ123" s="51"/>
      <c r="IR123" s="51"/>
      <c r="IS123" s="51"/>
      <c r="IT123" s="51"/>
      <c r="IU123" s="51"/>
      <c r="IV123" s="51"/>
    </row>
    <row r="124" spans="1:256" s="50" customFormat="1" ht="15">
      <c r="A124" s="552" t="s">
        <v>228</v>
      </c>
      <c r="B124" s="552"/>
      <c r="C124" s="115" t="s">
        <v>231</v>
      </c>
      <c r="D124" s="54">
        <v>382994.73</v>
      </c>
      <c r="E124" s="54">
        <v>379962.43</v>
      </c>
      <c r="F124" s="54">
        <v>422223.07</v>
      </c>
      <c r="G124" s="54">
        <f>(250499.99/7*12)</f>
        <v>429428.5542857143</v>
      </c>
      <c r="H124" s="55">
        <f>(((E124*(1+Parâmetros!B11)*(1+Parâmetros!C11)*(1+Parâmetros!D11))+(F124*(1+Parâmetros!C11)*(1+Parâmetros!D11)+(G124*(1+Parâmetros!D11))))/3)*(1+Parâmetros!E11)*(1+Parâmetros!E13)*(1+Parâmetros!E19)</f>
        <v>504836.05083095934</v>
      </c>
      <c r="I124" s="116">
        <f>H124*(1+Parâmetros!F11)*(1+Parâmetros!F13)*(1+Parâmetros!F19)</f>
        <v>530959.9029205192</v>
      </c>
      <c r="J124" s="116">
        <f>I124*(1+Parâmetros!G11)*(1+Parâmetros!G13)*(1+Parâmetros!G19)</f>
        <v>557896.560715483</v>
      </c>
      <c r="FW124" s="51"/>
      <c r="FX124" s="51"/>
      <c r="FY124" s="51"/>
      <c r="FZ124" s="51"/>
      <c r="GA124" s="51"/>
      <c r="GB124" s="51"/>
      <c r="GC124" s="51"/>
      <c r="GD124" s="51"/>
      <c r="GE124" s="51"/>
      <c r="GF124" s="51"/>
      <c r="GG124" s="51"/>
      <c r="GH124" s="51"/>
      <c r="GI124" s="51"/>
      <c r="GJ124" s="51"/>
      <c r="GK124" s="51"/>
      <c r="GL124" s="51"/>
      <c r="GM124" s="51"/>
      <c r="GN124" s="51"/>
      <c r="GO124" s="51"/>
      <c r="GP124" s="51"/>
      <c r="GQ124" s="51"/>
      <c r="GR124" s="51"/>
      <c r="GS124" s="51"/>
      <c r="GT124" s="51"/>
      <c r="GU124" s="51"/>
      <c r="GV124" s="51"/>
      <c r="GW124" s="51"/>
      <c r="GX124" s="51"/>
      <c r="GY124" s="51"/>
      <c r="GZ124" s="51"/>
      <c r="HA124" s="51"/>
      <c r="HB124" s="51"/>
      <c r="HC124" s="51"/>
      <c r="HD124" s="51"/>
      <c r="HE124" s="51"/>
      <c r="HF124" s="51"/>
      <c r="HG124" s="51"/>
      <c r="HH124" s="51"/>
      <c r="HI124" s="51"/>
      <c r="HJ124" s="51"/>
      <c r="HK124" s="51"/>
      <c r="HL124" s="51"/>
      <c r="HM124" s="51"/>
      <c r="HN124" s="51"/>
      <c r="HO124" s="51"/>
      <c r="HP124" s="51"/>
      <c r="HQ124" s="51"/>
      <c r="HR124" s="51"/>
      <c r="HS124" s="51"/>
      <c r="HT124" s="51"/>
      <c r="HU124" s="51"/>
      <c r="HV124" s="51"/>
      <c r="HW124" s="51"/>
      <c r="HX124" s="51"/>
      <c r="HY124" s="51"/>
      <c r="HZ124" s="51"/>
      <c r="IA124" s="51"/>
      <c r="IB124" s="51"/>
      <c r="IC124" s="51"/>
      <c r="ID124" s="51"/>
      <c r="IE124" s="51"/>
      <c r="IF124" s="51"/>
      <c r="IG124" s="51"/>
      <c r="IH124" s="51"/>
      <c r="II124" s="51"/>
      <c r="IJ124" s="51"/>
      <c r="IK124" s="51"/>
      <c r="IL124" s="51"/>
      <c r="IM124" s="51"/>
      <c r="IN124" s="51"/>
      <c r="IO124" s="51"/>
      <c r="IP124" s="51"/>
      <c r="IQ124" s="51"/>
      <c r="IR124" s="51"/>
      <c r="IS124" s="51"/>
      <c r="IT124" s="51"/>
      <c r="IU124" s="51"/>
      <c r="IV124" s="51"/>
    </row>
    <row r="125" spans="1:256" s="50" customFormat="1" ht="14.25" customHeight="1">
      <c r="A125" s="552" t="s">
        <v>228</v>
      </c>
      <c r="B125" s="552"/>
      <c r="C125" s="115" t="s">
        <v>232</v>
      </c>
      <c r="D125" s="117">
        <v>83037.06</v>
      </c>
      <c r="E125" s="117">
        <v>60124.13</v>
      </c>
      <c r="F125" s="117">
        <v>73401.46</v>
      </c>
      <c r="G125" s="117">
        <v>113639.08</v>
      </c>
      <c r="H125" s="55">
        <f>((E125+F125+G125)/3)*(1+Parâmetros!E11)</f>
        <v>85617.84168799999</v>
      </c>
      <c r="I125" s="55">
        <f>((F125+G125+H125)/3)*(1+Parâmetros!F11)</f>
        <v>94158.02780958933</v>
      </c>
      <c r="J125" s="55">
        <f>((G125+H125+I125)/3)*(1+Parâmetros!G11)</f>
        <v>101228.1575766683</v>
      </c>
      <c r="FW125" s="51"/>
      <c r="FX125" s="51"/>
      <c r="FY125" s="51"/>
      <c r="FZ125" s="51"/>
      <c r="GA125" s="51"/>
      <c r="GB125" s="51"/>
      <c r="GC125" s="51"/>
      <c r="GD125" s="51"/>
      <c r="GE125" s="51"/>
      <c r="GF125" s="51"/>
      <c r="GG125" s="51"/>
      <c r="GH125" s="51"/>
      <c r="GI125" s="51"/>
      <c r="GJ125" s="51"/>
      <c r="GK125" s="51"/>
      <c r="GL125" s="51"/>
      <c r="GM125" s="51"/>
      <c r="GN125" s="51"/>
      <c r="GO125" s="51"/>
      <c r="GP125" s="51"/>
      <c r="GQ125" s="51"/>
      <c r="GR125" s="51"/>
      <c r="GS125" s="51"/>
      <c r="GT125" s="51"/>
      <c r="GU125" s="51"/>
      <c r="GV125" s="51"/>
      <c r="GW125" s="51"/>
      <c r="GX125" s="51"/>
      <c r="GY125" s="51"/>
      <c r="GZ125" s="51"/>
      <c r="HA125" s="51"/>
      <c r="HB125" s="51"/>
      <c r="HC125" s="51"/>
      <c r="HD125" s="51"/>
      <c r="HE125" s="51"/>
      <c r="HF125" s="51"/>
      <c r="HG125" s="51"/>
      <c r="HH125" s="51"/>
      <c r="HI125" s="51"/>
      <c r="HJ125" s="51"/>
      <c r="HK125" s="51"/>
      <c r="HL125" s="51"/>
      <c r="HM125" s="51"/>
      <c r="HN125" s="51"/>
      <c r="HO125" s="51"/>
      <c r="HP125" s="51"/>
      <c r="HQ125" s="51"/>
      <c r="HR125" s="51"/>
      <c r="HS125" s="51"/>
      <c r="HT125" s="51"/>
      <c r="HU125" s="51"/>
      <c r="HV125" s="51"/>
      <c r="HW125" s="51"/>
      <c r="HX125" s="51"/>
      <c r="HY125" s="51"/>
      <c r="HZ125" s="51"/>
      <c r="IA125" s="51"/>
      <c r="IB125" s="51"/>
      <c r="IC125" s="51"/>
      <c r="ID125" s="51"/>
      <c r="IE125" s="51"/>
      <c r="IF125" s="51"/>
      <c r="IG125" s="51"/>
      <c r="IH125" s="51"/>
      <c r="II125" s="51"/>
      <c r="IJ125" s="51"/>
      <c r="IK125" s="51"/>
      <c r="IL125" s="51"/>
      <c r="IM125" s="51"/>
      <c r="IN125" s="51"/>
      <c r="IO125" s="51"/>
      <c r="IP125" s="51"/>
      <c r="IQ125" s="51"/>
      <c r="IR125" s="51"/>
      <c r="IS125" s="51"/>
      <c r="IT125" s="51"/>
      <c r="IU125" s="51"/>
      <c r="IV125" s="51"/>
    </row>
    <row r="126" spans="1:256" s="118" customFormat="1" ht="14.25" customHeight="1">
      <c r="A126" s="552" t="s">
        <v>233</v>
      </c>
      <c r="B126" s="552"/>
      <c r="C126" s="115" t="s">
        <v>234</v>
      </c>
      <c r="D126" s="117">
        <f>(6563503.33+1155153.41+7967.06)</f>
        <v>7726623.8</v>
      </c>
      <c r="E126" s="117">
        <f>(1158715.38+6986878.45)</f>
        <v>8145593.83</v>
      </c>
      <c r="F126" s="117">
        <f>(7250585.81+563096.66)</f>
        <v>7813682.47</v>
      </c>
      <c r="G126" s="117">
        <f>(4214674.03/7*12)+1316200.9</f>
        <v>8541356.38</v>
      </c>
      <c r="H126" s="55">
        <f>((E126+F126+G126)/3)*(1+Parâmetros!E11)</f>
        <v>8487019.160352</v>
      </c>
      <c r="I126" s="116">
        <f>((F126+G126+H126)/3)*(1+Parâmetros!F11)</f>
        <v>8578790.699574891</v>
      </c>
      <c r="J126" s="116">
        <f>((G126+H126+I126)/3)*(1+Parâmetros!G11)</f>
        <v>8834472.352774778</v>
      </c>
      <c r="FW126" s="119"/>
      <c r="FX126" s="119"/>
      <c r="FY126" s="119"/>
      <c r="FZ126" s="119"/>
      <c r="GA126" s="119"/>
      <c r="GB126" s="119"/>
      <c r="GC126" s="119"/>
      <c r="GD126" s="119"/>
      <c r="GE126" s="119"/>
      <c r="GF126" s="119"/>
      <c r="GG126" s="119"/>
      <c r="GH126" s="119"/>
      <c r="GI126" s="119"/>
      <c r="GJ126" s="119"/>
      <c r="GK126" s="119"/>
      <c r="GL126" s="119"/>
      <c r="GM126" s="119"/>
      <c r="GN126" s="119"/>
      <c r="GO126" s="119"/>
      <c r="GP126" s="119"/>
      <c r="GQ126" s="119"/>
      <c r="GR126" s="119"/>
      <c r="GS126" s="119"/>
      <c r="GT126" s="119"/>
      <c r="GU126" s="119"/>
      <c r="GV126" s="119"/>
      <c r="GW126" s="119"/>
      <c r="GX126" s="119"/>
      <c r="GY126" s="119"/>
      <c r="GZ126" s="119"/>
      <c r="HA126" s="119"/>
      <c r="HB126" s="119"/>
      <c r="HC126" s="119"/>
      <c r="HD126" s="119"/>
      <c r="HE126" s="119"/>
      <c r="HF126" s="119"/>
      <c r="HG126" s="119"/>
      <c r="HH126" s="119"/>
      <c r="HI126" s="119"/>
      <c r="HJ126" s="119"/>
      <c r="HK126" s="119"/>
      <c r="HL126" s="119"/>
      <c r="HM126" s="119"/>
      <c r="HN126" s="119"/>
      <c r="HO126" s="119"/>
      <c r="HP126" s="119"/>
      <c r="HQ126" s="119"/>
      <c r="HR126" s="119"/>
      <c r="HS126" s="119"/>
      <c r="HT126" s="119"/>
      <c r="HU126" s="119"/>
      <c r="HV126" s="119"/>
      <c r="HW126" s="119"/>
      <c r="HX126" s="119"/>
      <c r="HY126" s="119"/>
      <c r="HZ126" s="119"/>
      <c r="IA126" s="119"/>
      <c r="IB126" s="119"/>
      <c r="IC126" s="119"/>
      <c r="ID126" s="119"/>
      <c r="IE126" s="119"/>
      <c r="IF126" s="119"/>
      <c r="IG126" s="119"/>
      <c r="IH126" s="119"/>
      <c r="II126" s="119"/>
      <c r="IJ126" s="119"/>
      <c r="IK126" s="119"/>
      <c r="IL126" s="119"/>
      <c r="IM126" s="119"/>
      <c r="IN126" s="119"/>
      <c r="IO126" s="119"/>
      <c r="IP126" s="119"/>
      <c r="IQ126" s="119"/>
      <c r="IR126" s="119"/>
      <c r="IS126" s="119"/>
      <c r="IT126" s="119"/>
      <c r="IU126" s="119"/>
      <c r="IV126" s="119"/>
    </row>
    <row r="127" spans="1:256" s="56" customFormat="1" ht="15.75">
      <c r="A127" s="551" t="s">
        <v>235</v>
      </c>
      <c r="B127" s="551"/>
      <c r="C127" s="111" t="s">
        <v>236</v>
      </c>
      <c r="D127" s="87">
        <f aca="true" t="shared" si="25" ref="D127:J127">SUM(D128:D131)</f>
        <v>107332.58</v>
      </c>
      <c r="E127" s="87">
        <f t="shared" si="25"/>
        <v>14158.78</v>
      </c>
      <c r="F127" s="87">
        <f t="shared" si="25"/>
        <v>0</v>
      </c>
      <c r="G127" s="113">
        <f t="shared" si="25"/>
        <v>0</v>
      </c>
      <c r="H127" s="113">
        <f t="shared" si="25"/>
        <v>6316.235841935284</v>
      </c>
      <c r="I127" s="113">
        <f t="shared" si="25"/>
        <v>6884.6970677094605</v>
      </c>
      <c r="J127" s="113">
        <f t="shared" si="25"/>
        <v>7478.846424652787</v>
      </c>
      <c r="FW127" s="120"/>
      <c r="FX127" s="120"/>
      <c r="FY127" s="120"/>
      <c r="FZ127" s="120"/>
      <c r="GA127" s="120"/>
      <c r="GB127" s="120"/>
      <c r="GC127" s="120"/>
      <c r="GD127" s="120"/>
      <c r="GE127" s="120"/>
      <c r="GF127" s="120"/>
      <c r="GG127" s="120"/>
      <c r="GH127" s="120"/>
      <c r="GI127" s="120"/>
      <c r="GJ127" s="120"/>
      <c r="GK127" s="120"/>
      <c r="GL127" s="120"/>
      <c r="GM127" s="120"/>
      <c r="GN127" s="120"/>
      <c r="GO127" s="120"/>
      <c r="GP127" s="120"/>
      <c r="GQ127" s="120"/>
      <c r="GR127" s="120"/>
      <c r="GS127" s="120"/>
      <c r="GT127" s="120"/>
      <c r="GU127" s="120"/>
      <c r="GV127" s="120"/>
      <c r="GW127" s="120"/>
      <c r="GX127" s="120"/>
      <c r="GY127" s="120"/>
      <c r="GZ127" s="120"/>
      <c r="HA127" s="120"/>
      <c r="HB127" s="120"/>
      <c r="HC127" s="120"/>
      <c r="HD127" s="120"/>
      <c r="HE127" s="120"/>
      <c r="HF127" s="120"/>
      <c r="HG127" s="120"/>
      <c r="HH127" s="120"/>
      <c r="HI127" s="120"/>
      <c r="HJ127" s="120"/>
      <c r="HK127" s="120"/>
      <c r="HL127" s="120"/>
      <c r="HM127" s="120"/>
      <c r="HN127" s="120"/>
      <c r="HO127" s="120"/>
      <c r="HP127" s="120"/>
      <c r="HQ127" s="120"/>
      <c r="HR127" s="120"/>
      <c r="HS127" s="120"/>
      <c r="HT127" s="120"/>
      <c r="HU127" s="120"/>
      <c r="HV127" s="120"/>
      <c r="HW127" s="120"/>
      <c r="HX127" s="120"/>
      <c r="HY127" s="120"/>
      <c r="HZ127" s="120"/>
      <c r="IA127" s="120"/>
      <c r="IB127" s="120"/>
      <c r="IC127" s="120"/>
      <c r="ID127" s="120"/>
      <c r="IE127" s="120"/>
      <c r="IF127" s="120"/>
      <c r="IG127" s="120"/>
      <c r="IH127" s="120"/>
      <c r="II127" s="120"/>
      <c r="IJ127" s="120"/>
      <c r="IK127" s="120"/>
      <c r="IL127" s="120"/>
      <c r="IM127" s="120"/>
      <c r="IN127" s="120"/>
      <c r="IO127" s="120"/>
      <c r="IP127" s="120"/>
      <c r="IQ127" s="120"/>
      <c r="IR127" s="120"/>
      <c r="IS127" s="120"/>
      <c r="IT127" s="120"/>
      <c r="IU127" s="120"/>
      <c r="IV127" s="120"/>
    </row>
    <row r="128" spans="1:256" s="56" customFormat="1" ht="15">
      <c r="A128" s="552" t="s">
        <v>235</v>
      </c>
      <c r="B128" s="552"/>
      <c r="C128" s="115" t="s">
        <v>237</v>
      </c>
      <c r="D128" s="54">
        <v>107332.58</v>
      </c>
      <c r="E128" s="54">
        <v>14158.78</v>
      </c>
      <c r="F128" s="54">
        <v>0</v>
      </c>
      <c r="G128" s="54">
        <v>0</v>
      </c>
      <c r="H128" s="55">
        <f>(((E128*(1+Parâmetros!B11)*(1+Parâmetros!C11)*(1+Parâmetros!D11))+(F128*(1+Parâmetros!C11)*(1+Parâmetros!D11)+(G128*(1+Parâmetros!D11))))/3)*(1+Parâmetros!E21)</f>
        <v>6316.235841935284</v>
      </c>
      <c r="I128" s="116">
        <f>H128*(1+Parâmetros!F21)</f>
        <v>6884.6970677094605</v>
      </c>
      <c r="J128" s="116">
        <f>I128*(1+Parâmetros!G21)</f>
        <v>7478.846424652787</v>
      </c>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s="56" customFormat="1" ht="15">
      <c r="A129" s="552" t="s">
        <v>235</v>
      </c>
      <c r="B129" s="552"/>
      <c r="C129" s="115" t="s">
        <v>238</v>
      </c>
      <c r="D129" s="54">
        <v>0</v>
      </c>
      <c r="E129" s="54">
        <v>0</v>
      </c>
      <c r="F129" s="54">
        <v>0</v>
      </c>
      <c r="G129" s="54">
        <v>0</v>
      </c>
      <c r="H129" s="55">
        <f>(((E129*(1+Parâmetros!B11)*(1+Parâmetros!C11)*(1+Parâmetros!D11))+(F129*(1+Parâmetros!C11)*(1+Parâmetros!D11)+(G129*(1+Parâmetros!D11))))/3)*(1+Parâmetros!E21)</f>
        <v>0</v>
      </c>
      <c r="I129" s="116">
        <f>H129*(1+Parâmetros!F21)</f>
        <v>0</v>
      </c>
      <c r="J129" s="116">
        <f>I129*(1+Parâmetros!G21)</f>
        <v>0</v>
      </c>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s="56" customFormat="1" ht="15.75">
      <c r="A130" s="552" t="s">
        <v>235</v>
      </c>
      <c r="B130" s="552"/>
      <c r="C130" s="115" t="s">
        <v>239</v>
      </c>
      <c r="D130" s="117">
        <v>0</v>
      </c>
      <c r="E130" s="117">
        <v>0</v>
      </c>
      <c r="F130" s="117">
        <v>0</v>
      </c>
      <c r="G130" s="121">
        <v>0</v>
      </c>
      <c r="H130" s="55">
        <f>((E130+F130+G130)/3)*(1+Parâmetros!E11)</f>
        <v>0</v>
      </c>
      <c r="I130" s="55">
        <f>((F130+G130+H130)/3)*(1+Parâmetros!F11)</f>
        <v>0</v>
      </c>
      <c r="J130" s="55">
        <f>((G130+H130+I130)/3)*(1+Parâmetros!G11)</f>
        <v>0</v>
      </c>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s="56" customFormat="1" ht="15.75">
      <c r="A131" s="552" t="s">
        <v>240</v>
      </c>
      <c r="B131" s="552"/>
      <c r="C131" s="115" t="s">
        <v>241</v>
      </c>
      <c r="D131" s="117">
        <v>0</v>
      </c>
      <c r="E131" s="117">
        <v>0</v>
      </c>
      <c r="F131" s="117">
        <v>0</v>
      </c>
      <c r="G131" s="121">
        <v>0</v>
      </c>
      <c r="H131" s="55">
        <f>((E131+F131+G131)/3)*(1+Parâmetros!E11)</f>
        <v>0</v>
      </c>
      <c r="I131" s="55">
        <f>((F131+G131+H131)/3)*(1+Parâmetros!F11)</f>
        <v>0</v>
      </c>
      <c r="J131" s="55">
        <f>((G131+H131+I131)/3)*(1+Parâmetros!G11)</f>
        <v>0</v>
      </c>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s="50" customFormat="1" ht="15.75">
      <c r="A132" s="551" t="s">
        <v>242</v>
      </c>
      <c r="B132" s="551"/>
      <c r="C132" s="111" t="s">
        <v>243</v>
      </c>
      <c r="D132" s="87">
        <f aca="true" t="shared" si="26" ref="D132:J132">SUM(D133:D136)</f>
        <v>31275958.95</v>
      </c>
      <c r="E132" s="87">
        <f t="shared" si="26"/>
        <v>37968371.949999996</v>
      </c>
      <c r="F132" s="87">
        <f t="shared" si="26"/>
        <v>49138539.970000006</v>
      </c>
      <c r="G132" s="113">
        <f t="shared" si="26"/>
        <v>48719864.71428572</v>
      </c>
      <c r="H132" s="113">
        <f t="shared" si="26"/>
        <v>55252033.75221888</v>
      </c>
      <c r="I132" s="113">
        <f t="shared" si="26"/>
        <v>60978418.337376</v>
      </c>
      <c r="J132" s="113">
        <f t="shared" si="26"/>
        <v>64331456.158089414</v>
      </c>
      <c r="FW132" s="114"/>
      <c r="FX132" s="114"/>
      <c r="FY132" s="114"/>
      <c r="FZ132" s="114"/>
      <c r="GA132" s="114"/>
      <c r="GB132" s="114"/>
      <c r="GC132" s="114"/>
      <c r="GD132" s="114"/>
      <c r="GE132" s="114"/>
      <c r="GF132" s="114"/>
      <c r="GG132" s="114"/>
      <c r="GH132" s="114"/>
      <c r="GI132" s="114"/>
      <c r="GJ132" s="114"/>
      <c r="GK132" s="114"/>
      <c r="GL132" s="114"/>
      <c r="GM132" s="114"/>
      <c r="GN132" s="114"/>
      <c r="GO132" s="114"/>
      <c r="GP132" s="114"/>
      <c r="GQ132" s="114"/>
      <c r="GR132" s="114"/>
      <c r="GS132" s="114"/>
      <c r="GT132" s="114"/>
      <c r="GU132" s="114"/>
      <c r="GV132" s="114"/>
      <c r="GW132" s="114"/>
      <c r="GX132" s="114"/>
      <c r="GY132" s="114"/>
      <c r="GZ132" s="114"/>
      <c r="HA132" s="114"/>
      <c r="HB132" s="114"/>
      <c r="HC132" s="114"/>
      <c r="HD132" s="114"/>
      <c r="HE132" s="114"/>
      <c r="HF132" s="114"/>
      <c r="HG132" s="114"/>
      <c r="HH132" s="114"/>
      <c r="HI132" s="114"/>
      <c r="HJ132" s="114"/>
      <c r="HK132" s="114"/>
      <c r="HL132" s="114"/>
      <c r="HM132" s="114"/>
      <c r="HN132" s="114"/>
      <c r="HO132" s="114"/>
      <c r="HP132" s="114"/>
      <c r="HQ132" s="114"/>
      <c r="HR132" s="114"/>
      <c r="HS132" s="114"/>
      <c r="HT132" s="114"/>
      <c r="HU132" s="114"/>
      <c r="HV132" s="114"/>
      <c r="HW132" s="114"/>
      <c r="HX132" s="114"/>
      <c r="HY132" s="114"/>
      <c r="HZ132" s="114"/>
      <c r="IA132" s="114"/>
      <c r="IB132" s="114"/>
      <c r="IC132" s="114"/>
      <c r="ID132" s="114"/>
      <c r="IE132" s="114"/>
      <c r="IF132" s="114"/>
      <c r="IG132" s="114"/>
      <c r="IH132" s="114"/>
      <c r="II132" s="114"/>
      <c r="IJ132" s="114"/>
      <c r="IK132" s="114"/>
      <c r="IL132" s="114"/>
      <c r="IM132" s="114"/>
      <c r="IN132" s="114"/>
      <c r="IO132" s="114"/>
      <c r="IP132" s="114"/>
      <c r="IQ132" s="114"/>
      <c r="IR132" s="114"/>
      <c r="IS132" s="114"/>
      <c r="IT132" s="114"/>
      <c r="IU132" s="114"/>
      <c r="IV132" s="114"/>
    </row>
    <row r="133" spans="1:256" s="50" customFormat="1" ht="15">
      <c r="A133" s="552" t="s">
        <v>242</v>
      </c>
      <c r="B133" s="552"/>
      <c r="C133" s="115" t="s">
        <v>244</v>
      </c>
      <c r="D133" s="54">
        <v>28541991.92</v>
      </c>
      <c r="E133" s="54">
        <v>34710364.62</v>
      </c>
      <c r="F133" s="54">
        <f>(45174258.96-161147.45)</f>
        <v>45013111.51</v>
      </c>
      <c r="G133" s="54">
        <f>(24502865.42-118617.16)/7*12</f>
        <v>41801568.44571429</v>
      </c>
      <c r="H133" s="55">
        <f>(((E133*(1+Parâmetros!B11)*(1+Parâmetros!C11)*(1+Parâmetros!D11))+(F133*(1+Parâmetros!C11)*(1+Parâmetros!D11)+(G133*(1+Parâmetros!D11))))/3)*(1+Parâmetros!E11)*(1+Parâmetros!E14)</f>
        <v>50273355.841526054</v>
      </c>
      <c r="I133" s="116">
        <f>H133*(1+Parâmetros!F11)*(1+Parâmetros!F14)</f>
        <v>55417012.40115758</v>
      </c>
      <c r="J133" s="116">
        <f>I133*(1+Parâmetros!G11)*(1+Parâmetros!G14)</f>
        <v>58286570.028259836</v>
      </c>
      <c r="FW133" s="51"/>
      <c r="FX133" s="51"/>
      <c r="FY133" s="51"/>
      <c r="FZ133" s="51"/>
      <c r="GA133" s="51"/>
      <c r="GB133" s="51"/>
      <c r="GC133" s="51"/>
      <c r="GD133" s="51"/>
      <c r="GE133" s="51"/>
      <c r="GF133" s="51"/>
      <c r="GG133" s="51"/>
      <c r="GH133" s="51"/>
      <c r="GI133" s="51"/>
      <c r="GJ133" s="51"/>
      <c r="GK133" s="51"/>
      <c r="GL133" s="51"/>
      <c r="GM133" s="51"/>
      <c r="GN133" s="51"/>
      <c r="GO133" s="51"/>
      <c r="GP133" s="51"/>
      <c r="GQ133" s="51"/>
      <c r="GR133" s="51"/>
      <c r="GS133" s="51"/>
      <c r="GT133" s="51"/>
      <c r="GU133" s="51"/>
      <c r="GV133" s="51"/>
      <c r="GW133" s="51"/>
      <c r="GX133" s="51"/>
      <c r="GY133" s="51"/>
      <c r="GZ133" s="51"/>
      <c r="HA133" s="51"/>
      <c r="HB133" s="51"/>
      <c r="HC133" s="51"/>
      <c r="HD133" s="51"/>
      <c r="HE133" s="51"/>
      <c r="HF133" s="51"/>
      <c r="HG133" s="51"/>
      <c r="HH133" s="51"/>
      <c r="HI133" s="51"/>
      <c r="HJ133" s="51"/>
      <c r="HK133" s="51"/>
      <c r="HL133" s="51"/>
      <c r="HM133" s="51"/>
      <c r="HN133" s="51"/>
      <c r="HO133" s="51"/>
      <c r="HP133" s="51"/>
      <c r="HQ133" s="51"/>
      <c r="HR133" s="51"/>
      <c r="HS133" s="51"/>
      <c r="HT133" s="51"/>
      <c r="HU133" s="51"/>
      <c r="HV133" s="51"/>
      <c r="HW133" s="51"/>
      <c r="HX133" s="51"/>
      <c r="HY133" s="51"/>
      <c r="HZ133" s="51"/>
      <c r="IA133" s="51"/>
      <c r="IB133" s="51"/>
      <c r="IC133" s="51"/>
      <c r="ID133" s="51"/>
      <c r="IE133" s="51"/>
      <c r="IF133" s="51"/>
      <c r="IG133" s="51"/>
      <c r="IH133" s="51"/>
      <c r="II133" s="51"/>
      <c r="IJ133" s="51"/>
      <c r="IK133" s="51"/>
      <c r="IL133" s="51"/>
      <c r="IM133" s="51"/>
      <c r="IN133" s="51"/>
      <c r="IO133" s="51"/>
      <c r="IP133" s="51"/>
      <c r="IQ133" s="51"/>
      <c r="IR133" s="51"/>
      <c r="IS133" s="51"/>
      <c r="IT133" s="51"/>
      <c r="IU133" s="51"/>
      <c r="IV133" s="51"/>
    </row>
    <row r="134" spans="1:256" s="50" customFormat="1" ht="15">
      <c r="A134" s="552" t="s">
        <v>242</v>
      </c>
      <c r="B134" s="552"/>
      <c r="C134" s="115" t="s">
        <v>245</v>
      </c>
      <c r="D134" s="54">
        <v>114423.38</v>
      </c>
      <c r="E134" s="54">
        <v>114334.61</v>
      </c>
      <c r="F134" s="54">
        <v>119635.2</v>
      </c>
      <c r="G134" s="54">
        <f>(72224.02/7*12)</f>
        <v>123812.60571428572</v>
      </c>
      <c r="H134" s="55">
        <f>(((E134*(1+Parâmetros!B11)*(1+Parâmetros!C11)*(1+Parâmetros!D11))+(F134*(1+Parâmetros!C11)*(1+Parâmetros!D11)+(G134*(1+Parâmetros!D11))))/3)*(1+Parâmetros!E11)*(1+Parâmetros!E14)</f>
        <v>148493.754407115</v>
      </c>
      <c r="I134" s="116">
        <f>H134*(1+Parâmetros!F11)*(1+Parâmetros!F14)</f>
        <v>163686.71022108846</v>
      </c>
      <c r="J134" s="116">
        <f>I134*(1+Parâmetros!G11)*(1+Parâmetros!G14)</f>
        <v>172162.59925621067</v>
      </c>
      <c r="FW134" s="51"/>
      <c r="FX134" s="51"/>
      <c r="FY134" s="51"/>
      <c r="FZ134" s="51"/>
      <c r="GA134" s="51"/>
      <c r="GB134" s="51"/>
      <c r="GC134" s="51"/>
      <c r="GD134" s="51"/>
      <c r="GE134" s="51"/>
      <c r="GF134" s="51"/>
      <c r="GG134" s="51"/>
      <c r="GH134" s="51"/>
      <c r="GI134" s="51"/>
      <c r="GJ134" s="51"/>
      <c r="GK134" s="51"/>
      <c r="GL134" s="51"/>
      <c r="GM134" s="51"/>
      <c r="GN134" s="51"/>
      <c r="GO134" s="51"/>
      <c r="GP134" s="51"/>
      <c r="GQ134" s="51"/>
      <c r="GR134" s="51"/>
      <c r="GS134" s="51"/>
      <c r="GT134" s="51"/>
      <c r="GU134" s="51"/>
      <c r="GV134" s="51"/>
      <c r="GW134" s="51"/>
      <c r="GX134" s="51"/>
      <c r="GY134" s="51"/>
      <c r="GZ134" s="51"/>
      <c r="HA134" s="51"/>
      <c r="HB134" s="51"/>
      <c r="HC134" s="51"/>
      <c r="HD134" s="51"/>
      <c r="HE134" s="51"/>
      <c r="HF134" s="51"/>
      <c r="HG134" s="51"/>
      <c r="HH134" s="51"/>
      <c r="HI134" s="51"/>
      <c r="HJ134" s="51"/>
      <c r="HK134" s="51"/>
      <c r="HL134" s="51"/>
      <c r="HM134" s="51"/>
      <c r="HN134" s="51"/>
      <c r="HO134" s="51"/>
      <c r="HP134" s="51"/>
      <c r="HQ134" s="51"/>
      <c r="HR134" s="51"/>
      <c r="HS134" s="51"/>
      <c r="HT134" s="51"/>
      <c r="HU134" s="51"/>
      <c r="HV134" s="51"/>
      <c r="HW134" s="51"/>
      <c r="HX134" s="51"/>
      <c r="HY134" s="51"/>
      <c r="HZ134" s="51"/>
      <c r="IA134" s="51"/>
      <c r="IB134" s="51"/>
      <c r="IC134" s="51"/>
      <c r="ID134" s="51"/>
      <c r="IE134" s="51"/>
      <c r="IF134" s="51"/>
      <c r="IG134" s="51"/>
      <c r="IH134" s="51"/>
      <c r="II134" s="51"/>
      <c r="IJ134" s="51"/>
      <c r="IK134" s="51"/>
      <c r="IL134" s="51"/>
      <c r="IM134" s="51"/>
      <c r="IN134" s="51"/>
      <c r="IO134" s="51"/>
      <c r="IP134" s="51"/>
      <c r="IQ134" s="51"/>
      <c r="IR134" s="51"/>
      <c r="IS134" s="51"/>
      <c r="IT134" s="51"/>
      <c r="IU134" s="51"/>
      <c r="IV134" s="51"/>
    </row>
    <row r="135" spans="1:256" s="50" customFormat="1" ht="15.75">
      <c r="A135" s="552" t="s">
        <v>242</v>
      </c>
      <c r="B135" s="552"/>
      <c r="C135" s="115" t="s">
        <v>246</v>
      </c>
      <c r="D135" s="117">
        <f>(1316020.26+1169825.53-16678.63)</f>
        <v>2469167.16</v>
      </c>
      <c r="E135" s="117">
        <f>(1756225.04+1245003.21-11067.95)</f>
        <v>2990160.3</v>
      </c>
      <c r="F135" s="117">
        <f>(1952074.08+1892571.73-14530.43)</f>
        <v>3830115.38</v>
      </c>
      <c r="G135" s="117">
        <f>(3507139.86+3084000.1)-19953.6</f>
        <v>6571186.36</v>
      </c>
      <c r="H135" s="55">
        <f>((E135+F135+G135)/3)*(1+Parâmetros!E11)</f>
        <v>4638802.450656</v>
      </c>
      <c r="I135" s="55">
        <f>((F135+G135+H135)/3)*(1+Parâmetros!F11)</f>
        <v>5193849.313839871</v>
      </c>
      <c r="J135" s="55">
        <f>((G135+H135+I135)/3)*(1+Parâmetros!G11)</f>
        <v>5659324.152951075</v>
      </c>
      <c r="FW135" s="51"/>
      <c r="FX135" s="51"/>
      <c r="FY135" s="51"/>
      <c r="FZ135" s="51"/>
      <c r="GA135" s="51"/>
      <c r="GB135" s="51"/>
      <c r="GC135" s="51"/>
      <c r="GD135" s="51"/>
      <c r="GE135" s="51"/>
      <c r="GF135" s="51"/>
      <c r="GG135" s="51"/>
      <c r="GH135" s="51"/>
      <c r="GI135" s="51"/>
      <c r="GJ135" s="51"/>
      <c r="GK135" s="51"/>
      <c r="GL135" s="51"/>
      <c r="GM135" s="51"/>
      <c r="GN135" s="51"/>
      <c r="GO135" s="51"/>
      <c r="GP135" s="51"/>
      <c r="GQ135" s="51"/>
      <c r="GR135" s="51"/>
      <c r="GS135" s="51"/>
      <c r="GT135" s="51"/>
      <c r="GU135" s="51"/>
      <c r="GV135" s="51"/>
      <c r="GW135" s="51"/>
      <c r="GX135" s="51"/>
      <c r="GY135" s="51"/>
      <c r="GZ135" s="51"/>
      <c r="HA135" s="51"/>
      <c r="HB135" s="51"/>
      <c r="HC135" s="51"/>
      <c r="HD135" s="51"/>
      <c r="HE135" s="51"/>
      <c r="HF135" s="51"/>
      <c r="HG135" s="51"/>
      <c r="HH135" s="51"/>
      <c r="HI135" s="51"/>
      <c r="HJ135" s="51"/>
      <c r="HK135" s="51"/>
      <c r="HL135" s="51"/>
      <c r="HM135" s="51"/>
      <c r="HN135" s="51"/>
      <c r="HO135" s="51"/>
      <c r="HP135" s="51"/>
      <c r="HQ135" s="51"/>
      <c r="HR135" s="51"/>
      <c r="HS135" s="51"/>
      <c r="HT135" s="51"/>
      <c r="HU135" s="51"/>
      <c r="HV135" s="51"/>
      <c r="HW135" s="51"/>
      <c r="HX135" s="51"/>
      <c r="HY135" s="51"/>
      <c r="HZ135" s="51"/>
      <c r="IA135" s="51"/>
      <c r="IB135" s="51"/>
      <c r="IC135" s="51"/>
      <c r="ID135" s="51"/>
      <c r="IE135" s="51"/>
      <c r="IF135" s="51"/>
      <c r="IG135" s="51"/>
      <c r="IH135" s="51"/>
      <c r="II135" s="51"/>
      <c r="IJ135" s="51"/>
      <c r="IK135" s="51"/>
      <c r="IL135" s="51"/>
      <c r="IM135" s="51"/>
      <c r="IN135" s="51"/>
      <c r="IO135" s="51"/>
      <c r="IP135" s="51"/>
      <c r="IQ135" s="51"/>
      <c r="IR135" s="51"/>
      <c r="IS135" s="51"/>
      <c r="IT135" s="51"/>
      <c r="IU135" s="51"/>
      <c r="IV135" s="51"/>
    </row>
    <row r="136" spans="1:256" s="50" customFormat="1" ht="15.75">
      <c r="A136" s="552" t="s">
        <v>247</v>
      </c>
      <c r="B136" s="552"/>
      <c r="C136" s="115" t="s">
        <v>248</v>
      </c>
      <c r="D136" s="117">
        <f>(16678.63+133697.86)</f>
        <v>150376.49</v>
      </c>
      <c r="E136" s="117">
        <f>(11067.95+142444.47)</f>
        <v>153512.42</v>
      </c>
      <c r="F136" s="117">
        <f>(161147.45+14530.43)</f>
        <v>175677.88</v>
      </c>
      <c r="G136" s="117">
        <f>(118617.16/7*12)+19953.6</f>
        <v>223297.3028571429</v>
      </c>
      <c r="H136" s="55">
        <f>((E136+F136+G136)/3)*(1+Parâmetros!E11)</f>
        <v>191381.70562971427</v>
      </c>
      <c r="I136" s="55">
        <f>((F136+G136+H136)/3)*(1+Parâmetros!F11)</f>
        <v>203869.91215746137</v>
      </c>
      <c r="J136" s="55">
        <f>((G136+H136+I136)/3)*(1+Parâmetros!G11)</f>
        <v>213399.37762228987</v>
      </c>
      <c r="FW136" s="51"/>
      <c r="FX136" s="51"/>
      <c r="FY136" s="51"/>
      <c r="FZ136" s="51"/>
      <c r="GA136" s="51"/>
      <c r="GB136" s="51"/>
      <c r="GC136" s="51"/>
      <c r="GD136" s="51"/>
      <c r="GE136" s="51"/>
      <c r="GF136" s="51"/>
      <c r="GG136" s="51"/>
      <c r="GH136" s="51"/>
      <c r="GI136" s="51"/>
      <c r="GJ136" s="51"/>
      <c r="GK136" s="51"/>
      <c r="GL136" s="51"/>
      <c r="GM136" s="51"/>
      <c r="GN136" s="51"/>
      <c r="GO136" s="51"/>
      <c r="GP136" s="51"/>
      <c r="GQ136" s="51"/>
      <c r="GR136" s="51"/>
      <c r="GS136" s="51"/>
      <c r="GT136" s="51"/>
      <c r="GU136" s="51"/>
      <c r="GV136" s="51"/>
      <c r="GW136" s="51"/>
      <c r="GX136" s="51"/>
      <c r="GY136" s="51"/>
      <c r="GZ136" s="51"/>
      <c r="HA136" s="51"/>
      <c r="HB136" s="51"/>
      <c r="HC136" s="51"/>
      <c r="HD136" s="51"/>
      <c r="HE136" s="51"/>
      <c r="HF136" s="51"/>
      <c r="HG136" s="51"/>
      <c r="HH136" s="51"/>
      <c r="HI136" s="51"/>
      <c r="HJ136" s="51"/>
      <c r="HK136" s="51"/>
      <c r="HL136" s="51"/>
      <c r="HM136" s="51"/>
      <c r="HN136" s="51"/>
      <c r="HO136" s="51"/>
      <c r="HP136" s="51"/>
      <c r="HQ136" s="51"/>
      <c r="HR136" s="51"/>
      <c r="HS136" s="51"/>
      <c r="HT136" s="51"/>
      <c r="HU136" s="51"/>
      <c r="HV136" s="51"/>
      <c r="HW136" s="51"/>
      <c r="HX136" s="51"/>
      <c r="HY136" s="51"/>
      <c r="HZ136" s="51"/>
      <c r="IA136" s="51"/>
      <c r="IB136" s="51"/>
      <c r="IC136" s="51"/>
      <c r="ID136" s="51"/>
      <c r="IE136" s="51"/>
      <c r="IF136" s="51"/>
      <c r="IG136" s="51"/>
      <c r="IH136" s="51"/>
      <c r="II136" s="51"/>
      <c r="IJ136" s="51"/>
      <c r="IK136" s="51"/>
      <c r="IL136" s="51"/>
      <c r="IM136" s="51"/>
      <c r="IN136" s="51"/>
      <c r="IO136" s="51"/>
      <c r="IP136" s="51"/>
      <c r="IQ136" s="51"/>
      <c r="IR136" s="51"/>
      <c r="IS136" s="51"/>
      <c r="IT136" s="51"/>
      <c r="IU136" s="51"/>
      <c r="IV136" s="51"/>
    </row>
    <row r="137" spans="1:256" s="50" customFormat="1" ht="15.75">
      <c r="A137" s="551" t="s">
        <v>249</v>
      </c>
      <c r="B137" s="551"/>
      <c r="C137" s="111" t="s">
        <v>250</v>
      </c>
      <c r="D137" s="87">
        <f aca="true" t="shared" si="27" ref="D137:J137">D138+D143+D149</f>
        <v>5675586.850000001</v>
      </c>
      <c r="E137" s="87">
        <f t="shared" si="27"/>
        <v>13699506.01</v>
      </c>
      <c r="F137" s="112">
        <f t="shared" si="27"/>
        <v>20069226.61</v>
      </c>
      <c r="G137" s="113">
        <f t="shared" si="27"/>
        <v>12766405.57142857</v>
      </c>
      <c r="H137" s="113">
        <f t="shared" si="27"/>
        <v>25533624.31430664</v>
      </c>
      <c r="I137" s="113">
        <f t="shared" si="27"/>
        <v>30559607.566288136</v>
      </c>
      <c r="J137" s="113">
        <f t="shared" si="27"/>
        <v>33892249.33231181</v>
      </c>
      <c r="FW137" s="114"/>
      <c r="FX137" s="114"/>
      <c r="FY137" s="114"/>
      <c r="FZ137" s="114"/>
      <c r="GA137" s="114"/>
      <c r="GB137" s="114"/>
      <c r="GC137" s="114"/>
      <c r="GD137" s="114"/>
      <c r="GE137" s="114"/>
      <c r="GF137" s="114"/>
      <c r="GG137" s="114"/>
      <c r="GH137" s="114"/>
      <c r="GI137" s="114"/>
      <c r="GJ137" s="114"/>
      <c r="GK137" s="114"/>
      <c r="GL137" s="114"/>
      <c r="GM137" s="114"/>
      <c r="GN137" s="114"/>
      <c r="GO137" s="114"/>
      <c r="GP137" s="114"/>
      <c r="GQ137" s="114"/>
      <c r="GR137" s="114"/>
      <c r="GS137" s="114"/>
      <c r="GT137" s="114"/>
      <c r="GU137" s="114"/>
      <c r="GV137" s="114"/>
      <c r="GW137" s="114"/>
      <c r="GX137" s="114"/>
      <c r="GY137" s="114"/>
      <c r="GZ137" s="114"/>
      <c r="HA137" s="114"/>
      <c r="HB137" s="114"/>
      <c r="HC137" s="114"/>
      <c r="HD137" s="114"/>
      <c r="HE137" s="114"/>
      <c r="HF137" s="114"/>
      <c r="HG137" s="114"/>
      <c r="HH137" s="114"/>
      <c r="HI137" s="114"/>
      <c r="HJ137" s="114"/>
      <c r="HK137" s="114"/>
      <c r="HL137" s="114"/>
      <c r="HM137" s="114"/>
      <c r="HN137" s="114"/>
      <c r="HO137" s="114"/>
      <c r="HP137" s="114"/>
      <c r="HQ137" s="114"/>
      <c r="HR137" s="114"/>
      <c r="HS137" s="114"/>
      <c r="HT137" s="114"/>
      <c r="HU137" s="114"/>
      <c r="HV137" s="114"/>
      <c r="HW137" s="114"/>
      <c r="HX137" s="114"/>
      <c r="HY137" s="114"/>
      <c r="HZ137" s="114"/>
      <c r="IA137" s="114"/>
      <c r="IB137" s="114"/>
      <c r="IC137" s="114"/>
      <c r="ID137" s="114"/>
      <c r="IE137" s="114"/>
      <c r="IF137" s="114"/>
      <c r="IG137" s="114"/>
      <c r="IH137" s="114"/>
      <c r="II137" s="114"/>
      <c r="IJ137" s="114"/>
      <c r="IK137" s="114"/>
      <c r="IL137" s="114"/>
      <c r="IM137" s="114"/>
      <c r="IN137" s="114"/>
      <c r="IO137" s="114"/>
      <c r="IP137" s="114"/>
      <c r="IQ137" s="114"/>
      <c r="IR137" s="114"/>
      <c r="IS137" s="114"/>
      <c r="IT137" s="114"/>
      <c r="IU137" s="114"/>
      <c r="IV137" s="114"/>
    </row>
    <row r="138" spans="1:256" s="50" customFormat="1" ht="15.75">
      <c r="A138" s="551" t="s">
        <v>251</v>
      </c>
      <c r="B138" s="551"/>
      <c r="C138" s="111" t="s">
        <v>252</v>
      </c>
      <c r="D138" s="87">
        <f aca="true" t="shared" si="28" ref="D138:J138">SUM(D139:D142)</f>
        <v>4916608.65</v>
      </c>
      <c r="E138" s="87">
        <f t="shared" si="28"/>
        <v>13362006.01</v>
      </c>
      <c r="F138" s="87">
        <f t="shared" si="28"/>
        <v>19731726.61</v>
      </c>
      <c r="G138" s="113">
        <f t="shared" si="28"/>
        <v>12428905.57142857</v>
      </c>
      <c r="H138" s="113">
        <f t="shared" si="28"/>
        <v>25138179.628403146</v>
      </c>
      <c r="I138" s="113">
        <f t="shared" si="28"/>
        <v>30149926.871692117</v>
      </c>
      <c r="J138" s="113">
        <f t="shared" si="28"/>
        <v>33468229.813404933</v>
      </c>
      <c r="FW138" s="114"/>
      <c r="FX138" s="114"/>
      <c r="FY138" s="114"/>
      <c r="FZ138" s="114"/>
      <c r="GA138" s="114"/>
      <c r="GB138" s="114"/>
      <c r="GC138" s="114"/>
      <c r="GD138" s="114"/>
      <c r="GE138" s="114"/>
      <c r="GF138" s="114"/>
      <c r="GG138" s="114"/>
      <c r="GH138" s="114"/>
      <c r="GI138" s="114"/>
      <c r="GJ138" s="114"/>
      <c r="GK138" s="114"/>
      <c r="GL138" s="114"/>
      <c r="GM138" s="114"/>
      <c r="GN138" s="114"/>
      <c r="GO138" s="114"/>
      <c r="GP138" s="114"/>
      <c r="GQ138" s="114"/>
      <c r="GR138" s="114"/>
      <c r="GS138" s="114"/>
      <c r="GT138" s="114"/>
      <c r="GU138" s="114"/>
      <c r="GV138" s="114"/>
      <c r="GW138" s="114"/>
      <c r="GX138" s="114"/>
      <c r="GY138" s="114"/>
      <c r="GZ138" s="114"/>
      <c r="HA138" s="114"/>
      <c r="HB138" s="114"/>
      <c r="HC138" s="114"/>
      <c r="HD138" s="114"/>
      <c r="HE138" s="114"/>
      <c r="HF138" s="114"/>
      <c r="HG138" s="114"/>
      <c r="HH138" s="114"/>
      <c r="HI138" s="114"/>
      <c r="HJ138" s="114"/>
      <c r="HK138" s="114"/>
      <c r="HL138" s="114"/>
      <c r="HM138" s="114"/>
      <c r="HN138" s="114"/>
      <c r="HO138" s="114"/>
      <c r="HP138" s="114"/>
      <c r="HQ138" s="114"/>
      <c r="HR138" s="114"/>
      <c r="HS138" s="114"/>
      <c r="HT138" s="114"/>
      <c r="HU138" s="114"/>
      <c r="HV138" s="114"/>
      <c r="HW138" s="114"/>
      <c r="HX138" s="114"/>
      <c r="HY138" s="114"/>
      <c r="HZ138" s="114"/>
      <c r="IA138" s="114"/>
      <c r="IB138" s="114"/>
      <c r="IC138" s="114"/>
      <c r="ID138" s="114"/>
      <c r="IE138" s="114"/>
      <c r="IF138" s="114"/>
      <c r="IG138" s="114"/>
      <c r="IH138" s="114"/>
      <c r="II138" s="114"/>
      <c r="IJ138" s="114"/>
      <c r="IK138" s="114"/>
      <c r="IL138" s="114"/>
      <c r="IM138" s="114"/>
      <c r="IN138" s="114"/>
      <c r="IO138" s="114"/>
      <c r="IP138" s="114"/>
      <c r="IQ138" s="114"/>
      <c r="IR138" s="114"/>
      <c r="IS138" s="114"/>
      <c r="IT138" s="114"/>
      <c r="IU138" s="114"/>
      <c r="IV138" s="114"/>
    </row>
    <row r="139" spans="1:256" s="50" customFormat="1" ht="15">
      <c r="A139" s="552" t="s">
        <v>251</v>
      </c>
      <c r="B139" s="552"/>
      <c r="C139" s="115" t="s">
        <v>253</v>
      </c>
      <c r="D139" s="54">
        <v>4117332.31</v>
      </c>
      <c r="E139" s="54">
        <v>12713670.24</v>
      </c>
      <c r="F139" s="54">
        <v>17572270.14</v>
      </c>
      <c r="G139" s="54">
        <f>(4543171.46/7*12)</f>
        <v>7788293.93142857</v>
      </c>
      <c r="H139" s="54">
        <f>(((E139*(1+Parâmetros!B11)*(1+Parâmetros!C11)*(1+Parâmetros!D11))+(F139*(1+Parâmetros!C11)*(1+Parâmetros!D11)+(G139*(1+Parâmetros!D11))))/3)*(1+Parâmetros!E11)*(1+Parâmetros!E20)</f>
        <v>22557409.251463044</v>
      </c>
      <c r="I139" s="116">
        <f>H139*(1+Parâmetros!F11)*(1+Parâmetros!F20)</f>
        <v>26910008.132510733</v>
      </c>
      <c r="J139" s="116">
        <f>I139*(1+Parâmetros!G11)*(1+Parâmetros!G20)</f>
        <v>29858174.096353374</v>
      </c>
      <c r="FW139" s="51"/>
      <c r="FX139" s="51"/>
      <c r="FY139" s="51"/>
      <c r="FZ139" s="51"/>
      <c r="GA139" s="51"/>
      <c r="GB139" s="51"/>
      <c r="GC139" s="51"/>
      <c r="GD139" s="51"/>
      <c r="GE139" s="51"/>
      <c r="GF139" s="51"/>
      <c r="GG139" s="51"/>
      <c r="GH139" s="51"/>
      <c r="GI139" s="51"/>
      <c r="GJ139" s="51"/>
      <c r="GK139" s="51"/>
      <c r="GL139" s="51"/>
      <c r="GM139" s="51"/>
      <c r="GN139" s="51"/>
      <c r="GO139" s="51"/>
      <c r="GP139" s="51"/>
      <c r="GQ139" s="51"/>
      <c r="GR139" s="51"/>
      <c r="GS139" s="51"/>
      <c r="GT139" s="51"/>
      <c r="GU139" s="51"/>
      <c r="GV139" s="51"/>
      <c r="GW139" s="51"/>
      <c r="GX139" s="51"/>
      <c r="GY139" s="51"/>
      <c r="GZ139" s="51"/>
      <c r="HA139" s="51"/>
      <c r="HB139" s="51"/>
      <c r="HC139" s="51"/>
      <c r="HD139" s="51"/>
      <c r="HE139" s="51"/>
      <c r="HF139" s="51"/>
      <c r="HG139" s="51"/>
      <c r="HH139" s="51"/>
      <c r="HI139" s="51"/>
      <c r="HJ139" s="51"/>
      <c r="HK139" s="51"/>
      <c r="HL139" s="51"/>
      <c r="HM139" s="51"/>
      <c r="HN139" s="51"/>
      <c r="HO139" s="51"/>
      <c r="HP139" s="51"/>
      <c r="HQ139" s="51"/>
      <c r="HR139" s="51"/>
      <c r="HS139" s="51"/>
      <c r="HT139" s="51"/>
      <c r="HU139" s="51"/>
      <c r="HV139" s="51"/>
      <c r="HW139" s="51"/>
      <c r="HX139" s="51"/>
      <c r="HY139" s="51"/>
      <c r="HZ139" s="51"/>
      <c r="IA139" s="51"/>
      <c r="IB139" s="51"/>
      <c r="IC139" s="51"/>
      <c r="ID139" s="51"/>
      <c r="IE139" s="51"/>
      <c r="IF139" s="51"/>
      <c r="IG139" s="51"/>
      <c r="IH139" s="51"/>
      <c r="II139" s="51"/>
      <c r="IJ139" s="51"/>
      <c r="IK139" s="51"/>
      <c r="IL139" s="51"/>
      <c r="IM139" s="51"/>
      <c r="IN139" s="51"/>
      <c r="IO139" s="51"/>
      <c r="IP139" s="51"/>
      <c r="IQ139" s="51"/>
      <c r="IR139" s="51"/>
      <c r="IS139" s="51"/>
      <c r="IT139" s="51"/>
      <c r="IU139" s="51"/>
      <c r="IV139" s="51"/>
    </row>
    <row r="140" spans="1:256" s="50" customFormat="1" ht="15">
      <c r="A140" s="552" t="s">
        <v>251</v>
      </c>
      <c r="B140" s="552"/>
      <c r="C140" s="115" t="s">
        <v>254</v>
      </c>
      <c r="D140" s="54">
        <v>16950.9</v>
      </c>
      <c r="E140" s="54">
        <v>0</v>
      </c>
      <c r="F140" s="54">
        <v>2760</v>
      </c>
      <c r="G140" s="54">
        <v>0</v>
      </c>
      <c r="H140" s="55">
        <f>(((E140*(1+Parâmetros!B11)*(1+Parâmetros!C11)*(1+Parâmetros!D11))+(F140*(1+Parâmetros!C11)*(1+Parâmetros!D11)+(G140*(1+Parâmetros!D11))))/3)*(1+Parâmetros!E11)*(1+Parâmetros!E20)</f>
        <v>1599.336908101673</v>
      </c>
      <c r="I140" s="116">
        <f>H140*(1+Parâmetros!F11)*(1+Parâmetros!F20)</f>
        <v>1907.9393703356777</v>
      </c>
      <c r="J140" s="116">
        <f>I140*(1+Parâmetros!G11)*(1+Parâmetros!G20)</f>
        <v>2116.966505704819</v>
      </c>
      <c r="FW140" s="51"/>
      <c r="FX140" s="51"/>
      <c r="FY140" s="51"/>
      <c r="FZ140" s="51"/>
      <c r="GA140" s="51"/>
      <c r="GB140" s="51"/>
      <c r="GC140" s="51"/>
      <c r="GD140" s="51"/>
      <c r="GE140" s="51"/>
      <c r="GF140" s="51"/>
      <c r="GG140" s="51"/>
      <c r="GH140" s="51"/>
      <c r="GI140" s="51"/>
      <c r="GJ140" s="51"/>
      <c r="GK140" s="51"/>
      <c r="GL140" s="51"/>
      <c r="GM140" s="51"/>
      <c r="GN140" s="51"/>
      <c r="GO140" s="51"/>
      <c r="GP140" s="51"/>
      <c r="GQ140" s="51"/>
      <c r="GR140" s="51"/>
      <c r="GS140" s="51"/>
      <c r="GT140" s="51"/>
      <c r="GU140" s="51"/>
      <c r="GV140" s="51"/>
      <c r="GW140" s="51"/>
      <c r="GX140" s="51"/>
      <c r="GY140" s="51"/>
      <c r="GZ140" s="51"/>
      <c r="HA140" s="51"/>
      <c r="HB140" s="51"/>
      <c r="HC140" s="51"/>
      <c r="HD140" s="51"/>
      <c r="HE140" s="51"/>
      <c r="HF140" s="51"/>
      <c r="HG140" s="51"/>
      <c r="HH140" s="51"/>
      <c r="HI140" s="51"/>
      <c r="HJ140" s="51"/>
      <c r="HK140" s="51"/>
      <c r="HL140" s="51"/>
      <c r="HM140" s="51"/>
      <c r="HN140" s="51"/>
      <c r="HO140" s="51"/>
      <c r="HP140" s="51"/>
      <c r="HQ140" s="51"/>
      <c r="HR140" s="51"/>
      <c r="HS140" s="51"/>
      <c r="HT140" s="51"/>
      <c r="HU140" s="51"/>
      <c r="HV140" s="51"/>
      <c r="HW140" s="51"/>
      <c r="HX140" s="51"/>
      <c r="HY140" s="51"/>
      <c r="HZ140" s="51"/>
      <c r="IA140" s="51"/>
      <c r="IB140" s="51"/>
      <c r="IC140" s="51"/>
      <c r="ID140" s="51"/>
      <c r="IE140" s="51"/>
      <c r="IF140" s="51"/>
      <c r="IG140" s="51"/>
      <c r="IH140" s="51"/>
      <c r="II140" s="51"/>
      <c r="IJ140" s="51"/>
      <c r="IK140" s="51"/>
      <c r="IL140" s="51"/>
      <c r="IM140" s="51"/>
      <c r="IN140" s="51"/>
      <c r="IO140" s="51"/>
      <c r="IP140" s="51"/>
      <c r="IQ140" s="51"/>
      <c r="IR140" s="51"/>
      <c r="IS140" s="51"/>
      <c r="IT140" s="51"/>
      <c r="IU140" s="51"/>
      <c r="IV140" s="51"/>
    </row>
    <row r="141" spans="1:256" s="50" customFormat="1" ht="15.75">
      <c r="A141" s="552" t="s">
        <v>255</v>
      </c>
      <c r="B141" s="552"/>
      <c r="C141" s="115" t="s">
        <v>256</v>
      </c>
      <c r="D141" s="117">
        <v>782325.44</v>
      </c>
      <c r="E141" s="117">
        <v>648335.77</v>
      </c>
      <c r="F141" s="117">
        <f>(1782471.4+374225.07)</f>
        <v>2156696.4699999997</v>
      </c>
      <c r="G141" s="117">
        <f>(2264888.19+2375723.45)</f>
        <v>4640611.640000001</v>
      </c>
      <c r="H141" s="55">
        <f>((E141+F141+G141)/3)*(1+Parâmetros!E11)</f>
        <v>2579171.040032</v>
      </c>
      <c r="I141" s="55">
        <f>((F141+G141+H141)/3)*(1+Parâmetros!F11)</f>
        <v>3238010.7998110508</v>
      </c>
      <c r="J141" s="55">
        <f>((G141+H141+I141)/3)*(1+Parâmetros!G11)</f>
        <v>3607938.7505458524</v>
      </c>
      <c r="FW141" s="51"/>
      <c r="FX141" s="51"/>
      <c r="FY141" s="51"/>
      <c r="FZ141" s="51"/>
      <c r="GA141" s="51"/>
      <c r="GB141" s="51"/>
      <c r="GC141" s="51"/>
      <c r="GD141" s="51"/>
      <c r="GE141" s="51"/>
      <c r="GF141" s="51"/>
      <c r="GG141" s="51"/>
      <c r="GH141" s="51"/>
      <c r="GI141" s="51"/>
      <c r="GJ141" s="51"/>
      <c r="GK141" s="51"/>
      <c r="GL141" s="51"/>
      <c r="GM141" s="51"/>
      <c r="GN141" s="51"/>
      <c r="GO141" s="51"/>
      <c r="GP141" s="51"/>
      <c r="GQ141" s="51"/>
      <c r="GR141" s="51"/>
      <c r="GS141" s="51"/>
      <c r="GT141" s="51"/>
      <c r="GU141" s="51"/>
      <c r="GV141" s="51"/>
      <c r="GW141" s="51"/>
      <c r="GX141" s="51"/>
      <c r="GY141" s="51"/>
      <c r="GZ141" s="51"/>
      <c r="HA141" s="51"/>
      <c r="HB141" s="51"/>
      <c r="HC141" s="51"/>
      <c r="HD141" s="51"/>
      <c r="HE141" s="51"/>
      <c r="HF141" s="51"/>
      <c r="HG141" s="51"/>
      <c r="HH141" s="51"/>
      <c r="HI141" s="51"/>
      <c r="HJ141" s="51"/>
      <c r="HK141" s="51"/>
      <c r="HL141" s="51"/>
      <c r="HM141" s="51"/>
      <c r="HN141" s="51"/>
      <c r="HO141" s="51"/>
      <c r="HP141" s="51"/>
      <c r="HQ141" s="51"/>
      <c r="HR141" s="51"/>
      <c r="HS141" s="51"/>
      <c r="HT141" s="51"/>
      <c r="HU141" s="51"/>
      <c r="HV141" s="51"/>
      <c r="HW141" s="51"/>
      <c r="HX141" s="51"/>
      <c r="HY141" s="51"/>
      <c r="HZ141" s="51"/>
      <c r="IA141" s="51"/>
      <c r="IB141" s="51"/>
      <c r="IC141" s="51"/>
      <c r="ID141" s="51"/>
      <c r="IE141" s="51"/>
      <c r="IF141" s="51"/>
      <c r="IG141" s="51"/>
      <c r="IH141" s="51"/>
      <c r="II141" s="51"/>
      <c r="IJ141" s="51"/>
      <c r="IK141" s="51"/>
      <c r="IL141" s="51"/>
      <c r="IM141" s="51"/>
      <c r="IN141" s="51"/>
      <c r="IO141" s="51"/>
      <c r="IP141" s="51"/>
      <c r="IQ141" s="51"/>
      <c r="IR141" s="51"/>
      <c r="IS141" s="51"/>
      <c r="IT141" s="51"/>
      <c r="IU141" s="51"/>
      <c r="IV141" s="51"/>
    </row>
    <row r="142" spans="1:256" s="50" customFormat="1" ht="15.75">
      <c r="A142" s="552" t="s">
        <v>255</v>
      </c>
      <c r="B142" s="552"/>
      <c r="C142" s="115" t="s">
        <v>257</v>
      </c>
      <c r="D142" s="117">
        <v>0</v>
      </c>
      <c r="E142" s="117">
        <v>0</v>
      </c>
      <c r="F142" s="117">
        <v>0</v>
      </c>
      <c r="G142" s="117">
        <v>0</v>
      </c>
      <c r="H142" s="55">
        <f>((E142+F142+G142)/3)*(1+Parâmetros!E11)</f>
        <v>0</v>
      </c>
      <c r="I142" s="55">
        <f>((F142+G142+H142)/3)*(1+Parâmetros!F11)</f>
        <v>0</v>
      </c>
      <c r="J142" s="55">
        <f>((G142+H142+I142)/3)*(1+Parâmetros!G11)</f>
        <v>0</v>
      </c>
      <c r="FW142" s="51"/>
      <c r="FX142" s="51"/>
      <c r="FY142" s="51"/>
      <c r="FZ142" s="51"/>
      <c r="GA142" s="51"/>
      <c r="GB142" s="51"/>
      <c r="GC142" s="51"/>
      <c r="GD142" s="51"/>
      <c r="GE142" s="51"/>
      <c r="GF142" s="51"/>
      <c r="GG142" s="51"/>
      <c r="GH142" s="51"/>
      <c r="GI142" s="51"/>
      <c r="GJ142" s="51"/>
      <c r="GK142" s="51"/>
      <c r="GL142" s="51"/>
      <c r="GM142" s="51"/>
      <c r="GN142" s="51"/>
      <c r="GO142" s="51"/>
      <c r="GP142" s="51"/>
      <c r="GQ142" s="51"/>
      <c r="GR142" s="51"/>
      <c r="GS142" s="51"/>
      <c r="GT142" s="51"/>
      <c r="GU142" s="51"/>
      <c r="GV142" s="51"/>
      <c r="GW142" s="51"/>
      <c r="GX142" s="51"/>
      <c r="GY142" s="51"/>
      <c r="GZ142" s="51"/>
      <c r="HA142" s="51"/>
      <c r="HB142" s="51"/>
      <c r="HC142" s="51"/>
      <c r="HD142" s="51"/>
      <c r="HE142" s="51"/>
      <c r="HF142" s="51"/>
      <c r="HG142" s="51"/>
      <c r="HH142" s="51"/>
      <c r="HI142" s="51"/>
      <c r="HJ142" s="51"/>
      <c r="HK142" s="51"/>
      <c r="HL142" s="51"/>
      <c r="HM142" s="51"/>
      <c r="HN142" s="51"/>
      <c r="HO142" s="51"/>
      <c r="HP142" s="51"/>
      <c r="HQ142" s="51"/>
      <c r="HR142" s="51"/>
      <c r="HS142" s="51"/>
      <c r="HT142" s="51"/>
      <c r="HU142" s="51"/>
      <c r="HV142" s="51"/>
      <c r="HW142" s="51"/>
      <c r="HX142" s="51"/>
      <c r="HY142" s="51"/>
      <c r="HZ142" s="51"/>
      <c r="IA142" s="51"/>
      <c r="IB142" s="51"/>
      <c r="IC142" s="51"/>
      <c r="ID142" s="51"/>
      <c r="IE142" s="51"/>
      <c r="IF142" s="51"/>
      <c r="IG142" s="51"/>
      <c r="IH142" s="51"/>
      <c r="II142" s="51"/>
      <c r="IJ142" s="51"/>
      <c r="IK142" s="51"/>
      <c r="IL142" s="51"/>
      <c r="IM142" s="51"/>
      <c r="IN142" s="51"/>
      <c r="IO142" s="51"/>
      <c r="IP142" s="51"/>
      <c r="IQ142" s="51"/>
      <c r="IR142" s="51"/>
      <c r="IS142" s="51"/>
      <c r="IT142" s="51"/>
      <c r="IU142" s="51"/>
      <c r="IV142" s="51"/>
    </row>
    <row r="143" spans="1:256" s="50" customFormat="1" ht="15.75">
      <c r="A143" s="551" t="s">
        <v>258</v>
      </c>
      <c r="B143" s="551"/>
      <c r="C143" s="111" t="s">
        <v>259</v>
      </c>
      <c r="D143" s="87">
        <f aca="true" t="shared" si="29" ref="D143:J143">SUM(D144:D148)</f>
        <v>0</v>
      </c>
      <c r="E143" s="87">
        <f t="shared" si="29"/>
        <v>0</v>
      </c>
      <c r="F143" s="87">
        <f t="shared" si="29"/>
        <v>0</v>
      </c>
      <c r="G143" s="87">
        <f t="shared" si="29"/>
        <v>0</v>
      </c>
      <c r="H143" s="113">
        <f t="shared" si="29"/>
        <v>0</v>
      </c>
      <c r="I143" s="113">
        <f t="shared" si="29"/>
        <v>0</v>
      </c>
      <c r="J143" s="113">
        <f t="shared" si="29"/>
        <v>0</v>
      </c>
      <c r="FW143" s="114"/>
      <c r="FX143" s="114"/>
      <c r="FY143" s="114"/>
      <c r="FZ143" s="114"/>
      <c r="GA143" s="114"/>
      <c r="GB143" s="114"/>
      <c r="GC143" s="114"/>
      <c r="GD143" s="114"/>
      <c r="GE143" s="114"/>
      <c r="GF143" s="114"/>
      <c r="GG143" s="114"/>
      <c r="GH143" s="114"/>
      <c r="GI143" s="114"/>
      <c r="GJ143" s="114"/>
      <c r="GK143" s="114"/>
      <c r="GL143" s="114"/>
      <c r="GM143" s="114"/>
      <c r="GN143" s="114"/>
      <c r="GO143" s="114"/>
      <c r="GP143" s="114"/>
      <c r="GQ143" s="114"/>
      <c r="GR143" s="114"/>
      <c r="GS143" s="114"/>
      <c r="GT143" s="114"/>
      <c r="GU143" s="114"/>
      <c r="GV143" s="114"/>
      <c r="GW143" s="114"/>
      <c r="GX143" s="114"/>
      <c r="GY143" s="114"/>
      <c r="GZ143" s="114"/>
      <c r="HA143" s="114"/>
      <c r="HB143" s="114"/>
      <c r="HC143" s="114"/>
      <c r="HD143" s="114"/>
      <c r="HE143" s="114"/>
      <c r="HF143" s="114"/>
      <c r="HG143" s="114"/>
      <c r="HH143" s="114"/>
      <c r="HI143" s="114"/>
      <c r="HJ143" s="114"/>
      <c r="HK143" s="114"/>
      <c r="HL143" s="114"/>
      <c r="HM143" s="114"/>
      <c r="HN143" s="114"/>
      <c r="HO143" s="114"/>
      <c r="HP143" s="114"/>
      <c r="HQ143" s="114"/>
      <c r="HR143" s="114"/>
      <c r="HS143" s="114"/>
      <c r="HT143" s="114"/>
      <c r="HU143" s="114"/>
      <c r="HV143" s="114"/>
      <c r="HW143" s="114"/>
      <c r="HX143" s="114"/>
      <c r="HY143" s="114"/>
      <c r="HZ143" s="114"/>
      <c r="IA143" s="114"/>
      <c r="IB143" s="114"/>
      <c r="IC143" s="114"/>
      <c r="ID143" s="114"/>
      <c r="IE143" s="114"/>
      <c r="IF143" s="114"/>
      <c r="IG143" s="114"/>
      <c r="IH143" s="114"/>
      <c r="II143" s="114"/>
      <c r="IJ143" s="114"/>
      <c r="IK143" s="114"/>
      <c r="IL143" s="114"/>
      <c r="IM143" s="114"/>
      <c r="IN143" s="114"/>
      <c r="IO143" s="114"/>
      <c r="IP143" s="114"/>
      <c r="IQ143" s="114"/>
      <c r="IR143" s="114"/>
      <c r="IS143" s="114"/>
      <c r="IT143" s="114"/>
      <c r="IU143" s="114"/>
      <c r="IV143" s="114"/>
    </row>
    <row r="144" spans="1:256" s="56" customFormat="1" ht="15">
      <c r="A144" s="552" t="s">
        <v>260</v>
      </c>
      <c r="B144" s="552"/>
      <c r="C144" s="115" t="s">
        <v>261</v>
      </c>
      <c r="D144" s="54">
        <v>0</v>
      </c>
      <c r="E144" s="54">
        <v>0</v>
      </c>
      <c r="F144" s="54">
        <v>0</v>
      </c>
      <c r="G144" s="54">
        <v>0</v>
      </c>
      <c r="H144" s="55">
        <f>(((E144*(1+Parâmetros!B11)*(1+Parâmetros!C11)*(1+Parâmetros!D11))+(F144*(1+Parâmetros!C11)*(1+Parâmetros!D11)+(G144*(1+Parâmetros!D11))))/3)*(1+Parâmetros!E11)</f>
        <v>0</v>
      </c>
      <c r="I144" s="116">
        <f>H144*(1+Parâmetros!F11)</f>
        <v>0</v>
      </c>
      <c r="J144" s="116">
        <f>I144*(1+Parâmetros!G11)</f>
        <v>0</v>
      </c>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s="56" customFormat="1" ht="15">
      <c r="A145" s="552" t="s">
        <v>262</v>
      </c>
      <c r="B145" s="552"/>
      <c r="C145" s="115" t="s">
        <v>263</v>
      </c>
      <c r="D145" s="54">
        <v>0</v>
      </c>
      <c r="E145" s="54">
        <v>0</v>
      </c>
      <c r="F145" s="54">
        <v>0</v>
      </c>
      <c r="G145" s="54">
        <v>0</v>
      </c>
      <c r="H145" s="55">
        <f>(((E145*(1+Parâmetros!B11)*(1+Parâmetros!C11)*(1+Parâmetros!D11))+(F145*(1+Parâmetros!C11)*(1+Parâmetros!D11)+(G145*(1+Parâmetros!D11))))/3)*(1+Parâmetros!E11)</f>
        <v>0</v>
      </c>
      <c r="I145" s="116">
        <f>H145*(1+Parâmetros!F11)</f>
        <v>0</v>
      </c>
      <c r="J145" s="116">
        <f>I145*(1+Parâmetros!G11)</f>
        <v>0</v>
      </c>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s="56" customFormat="1" ht="15">
      <c r="A146" s="552" t="s">
        <v>262</v>
      </c>
      <c r="B146" s="552"/>
      <c r="C146" s="115" t="s">
        <v>264</v>
      </c>
      <c r="D146" s="117">
        <v>0</v>
      </c>
      <c r="E146" s="117">
        <v>0</v>
      </c>
      <c r="F146" s="117">
        <v>0</v>
      </c>
      <c r="G146" s="117">
        <v>0</v>
      </c>
      <c r="H146" s="55">
        <f>(((E146*(1+Parâmetros!B11)*(1+Parâmetros!C11)*(1+Parâmetros!D11))+(F146*(1+Parâmetros!C11)*(1+Parâmetros!D11)+(G146*(1+Parâmetros!D11))))/3)*(1+Parâmetros!E11)</f>
        <v>0</v>
      </c>
      <c r="I146" s="116">
        <f>H146*(1+Parâmetros!F11)</f>
        <v>0</v>
      </c>
      <c r="J146" s="116">
        <f>I146*(1+Parâmetros!G11)</f>
        <v>0</v>
      </c>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s="56" customFormat="1" ht="15.75">
      <c r="A147" s="552" t="s">
        <v>262</v>
      </c>
      <c r="B147" s="552"/>
      <c r="C147" s="115" t="s">
        <v>265</v>
      </c>
      <c r="D147" s="117">
        <v>0</v>
      </c>
      <c r="E147" s="117">
        <v>0</v>
      </c>
      <c r="F147" s="117">
        <v>0</v>
      </c>
      <c r="G147" s="117">
        <v>0</v>
      </c>
      <c r="H147" s="55">
        <f>((E147+F147+G147)/3)*(1+Parâmetros!E11)</f>
        <v>0</v>
      </c>
      <c r="I147" s="55">
        <f>((F147+G147+H147)/3)*(1+Parâmetros!F11)</f>
        <v>0</v>
      </c>
      <c r="J147" s="55">
        <f>((G147+H147+I147)/3)*(1+Parâmetros!G11)</f>
        <v>0</v>
      </c>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s="56" customFormat="1" ht="15.75">
      <c r="A148" s="552" t="s">
        <v>266</v>
      </c>
      <c r="B148" s="552"/>
      <c r="C148" s="115" t="s">
        <v>267</v>
      </c>
      <c r="D148" s="117">
        <v>0</v>
      </c>
      <c r="E148" s="117">
        <v>0</v>
      </c>
      <c r="F148" s="117">
        <v>0</v>
      </c>
      <c r="G148" s="117">
        <v>0</v>
      </c>
      <c r="H148" s="55">
        <f>((E148+F148+G148)/3)*(1+Parâmetros!E11)</f>
        <v>0</v>
      </c>
      <c r="I148" s="55">
        <f>((F148+G148+H148)/3)*(1+Parâmetros!F11)</f>
        <v>0</v>
      </c>
      <c r="J148" s="55">
        <f>((G148+H148+I148)/3)*(1+Parâmetros!G11)</f>
        <v>0</v>
      </c>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s="50" customFormat="1" ht="15.75">
      <c r="A149" s="551" t="s">
        <v>268</v>
      </c>
      <c r="B149" s="551"/>
      <c r="C149" s="111" t="s">
        <v>269</v>
      </c>
      <c r="D149" s="87">
        <f aca="true" t="shared" si="30" ref="D149:J149">SUM(D150:D153)</f>
        <v>758978.2</v>
      </c>
      <c r="E149" s="87">
        <f t="shared" si="30"/>
        <v>337500</v>
      </c>
      <c r="F149" s="87">
        <f t="shared" si="30"/>
        <v>337500</v>
      </c>
      <c r="G149" s="113">
        <f t="shared" si="30"/>
        <v>337500</v>
      </c>
      <c r="H149" s="113">
        <f t="shared" si="30"/>
        <v>395444.68590349227</v>
      </c>
      <c r="I149" s="113">
        <f t="shared" si="30"/>
        <v>409680.694596018</v>
      </c>
      <c r="J149" s="113">
        <f t="shared" si="30"/>
        <v>424019.5189068786</v>
      </c>
      <c r="FW149" s="114"/>
      <c r="FX149" s="114"/>
      <c r="FY149" s="114"/>
      <c r="FZ149" s="114"/>
      <c r="GA149" s="114"/>
      <c r="GB149" s="114"/>
      <c r="GC149" s="114"/>
      <c r="GD149" s="114"/>
      <c r="GE149" s="114"/>
      <c r="GF149" s="114"/>
      <c r="GG149" s="114"/>
      <c r="GH149" s="114"/>
      <c r="GI149" s="114"/>
      <c r="GJ149" s="114"/>
      <c r="GK149" s="114"/>
      <c r="GL149" s="114"/>
      <c r="GM149" s="114"/>
      <c r="GN149" s="114"/>
      <c r="GO149" s="114"/>
      <c r="GP149" s="114"/>
      <c r="GQ149" s="114"/>
      <c r="GR149" s="114"/>
      <c r="GS149" s="114"/>
      <c r="GT149" s="114"/>
      <c r="GU149" s="114"/>
      <c r="GV149" s="114"/>
      <c r="GW149" s="114"/>
      <c r="GX149" s="114"/>
      <c r="GY149" s="114"/>
      <c r="GZ149" s="114"/>
      <c r="HA149" s="114"/>
      <c r="HB149" s="114"/>
      <c r="HC149" s="114"/>
      <c r="HD149" s="114"/>
      <c r="HE149" s="114"/>
      <c r="HF149" s="114"/>
      <c r="HG149" s="114"/>
      <c r="HH149" s="114"/>
      <c r="HI149" s="114"/>
      <c r="HJ149" s="114"/>
      <c r="HK149" s="114"/>
      <c r="HL149" s="114"/>
      <c r="HM149" s="114"/>
      <c r="HN149" s="114"/>
      <c r="HO149" s="114"/>
      <c r="HP149" s="114"/>
      <c r="HQ149" s="114"/>
      <c r="HR149" s="114"/>
      <c r="HS149" s="114"/>
      <c r="HT149" s="114"/>
      <c r="HU149" s="114"/>
      <c r="HV149" s="114"/>
      <c r="HW149" s="114"/>
      <c r="HX149" s="114"/>
      <c r="HY149" s="114"/>
      <c r="HZ149" s="114"/>
      <c r="IA149" s="114"/>
      <c r="IB149" s="114"/>
      <c r="IC149" s="114"/>
      <c r="ID149" s="114"/>
      <c r="IE149" s="114"/>
      <c r="IF149" s="114"/>
      <c r="IG149" s="114"/>
      <c r="IH149" s="114"/>
      <c r="II149" s="114"/>
      <c r="IJ149" s="114"/>
      <c r="IK149" s="114"/>
      <c r="IL149" s="114"/>
      <c r="IM149" s="114"/>
      <c r="IN149" s="114"/>
      <c r="IO149" s="114"/>
      <c r="IP149" s="114"/>
      <c r="IQ149" s="114"/>
      <c r="IR149" s="114"/>
      <c r="IS149" s="114"/>
      <c r="IT149" s="114"/>
      <c r="IU149" s="114"/>
      <c r="IV149" s="114"/>
    </row>
    <row r="150" spans="1:256" s="50" customFormat="1" ht="15">
      <c r="A150" s="552" t="s">
        <v>268</v>
      </c>
      <c r="B150" s="552"/>
      <c r="C150" s="115" t="s">
        <v>270</v>
      </c>
      <c r="D150" s="54">
        <v>758978.2</v>
      </c>
      <c r="E150" s="54">
        <v>337500</v>
      </c>
      <c r="F150" s="54">
        <v>337500</v>
      </c>
      <c r="G150" s="54">
        <f>(196875/7*12)</f>
        <v>337500</v>
      </c>
      <c r="H150" s="55">
        <f>(((E150*(1+Parâmetros!B11)*(1+Parâmetros!C11)*(1+Parâmetros!D11))+(F150*(1+Parâmetros!C11)*(1+Parâmetros!D11)+(G150*(1+Parâmetros!D11))))/3)*(1+Parâmetros!E11)</f>
        <v>395444.68590349227</v>
      </c>
      <c r="I150" s="116">
        <f>H150*(1+Parâmetros!F11)</f>
        <v>409680.694596018</v>
      </c>
      <c r="J150" s="116">
        <f>I150*(1+Parâmetros!G11)</f>
        <v>424019.5189068786</v>
      </c>
      <c r="FW150" s="51"/>
      <c r="FX150" s="51"/>
      <c r="FY150" s="51"/>
      <c r="FZ150" s="51"/>
      <c r="GA150" s="51"/>
      <c r="GB150" s="51"/>
      <c r="GC150" s="51"/>
      <c r="GD150" s="51"/>
      <c r="GE150" s="51"/>
      <c r="GF150" s="51"/>
      <c r="GG150" s="51"/>
      <c r="GH150" s="51"/>
      <c r="GI150" s="51"/>
      <c r="GJ150" s="51"/>
      <c r="GK150" s="51"/>
      <c r="GL150" s="51"/>
      <c r="GM150" s="51"/>
      <c r="GN150" s="51"/>
      <c r="GO150" s="51"/>
      <c r="GP150" s="51"/>
      <c r="GQ150" s="51"/>
      <c r="GR150" s="51"/>
      <c r="GS150" s="51"/>
      <c r="GT150" s="51"/>
      <c r="GU150" s="51"/>
      <c r="GV150" s="51"/>
      <c r="GW150" s="51"/>
      <c r="GX150" s="51"/>
      <c r="GY150" s="51"/>
      <c r="GZ150" s="51"/>
      <c r="HA150" s="51"/>
      <c r="HB150" s="51"/>
      <c r="HC150" s="51"/>
      <c r="HD150" s="51"/>
      <c r="HE150" s="51"/>
      <c r="HF150" s="51"/>
      <c r="HG150" s="51"/>
      <c r="HH150" s="51"/>
      <c r="HI150" s="51"/>
      <c r="HJ150" s="51"/>
      <c r="HK150" s="51"/>
      <c r="HL150" s="51"/>
      <c r="HM150" s="51"/>
      <c r="HN150" s="51"/>
      <c r="HO150" s="51"/>
      <c r="HP150" s="51"/>
      <c r="HQ150" s="51"/>
      <c r="HR150" s="51"/>
      <c r="HS150" s="51"/>
      <c r="HT150" s="51"/>
      <c r="HU150" s="51"/>
      <c r="HV150" s="51"/>
      <c r="HW150" s="51"/>
      <c r="HX150" s="51"/>
      <c r="HY150" s="51"/>
      <c r="HZ150" s="51"/>
      <c r="IA150" s="51"/>
      <c r="IB150" s="51"/>
      <c r="IC150" s="51"/>
      <c r="ID150" s="51"/>
      <c r="IE150" s="51"/>
      <c r="IF150" s="51"/>
      <c r="IG150" s="51"/>
      <c r="IH150" s="51"/>
      <c r="II150" s="51"/>
      <c r="IJ150" s="51"/>
      <c r="IK150" s="51"/>
      <c r="IL150" s="51"/>
      <c r="IM150" s="51"/>
      <c r="IN150" s="51"/>
      <c r="IO150" s="51"/>
      <c r="IP150" s="51"/>
      <c r="IQ150" s="51"/>
      <c r="IR150" s="51"/>
      <c r="IS150" s="51"/>
      <c r="IT150" s="51"/>
      <c r="IU150" s="51"/>
      <c r="IV150" s="51"/>
    </row>
    <row r="151" spans="1:256" s="50" customFormat="1" ht="15">
      <c r="A151" s="552" t="s">
        <v>268</v>
      </c>
      <c r="B151" s="552"/>
      <c r="C151" s="115" t="s">
        <v>271</v>
      </c>
      <c r="D151" s="54"/>
      <c r="E151" s="54"/>
      <c r="F151" s="54">
        <v>0</v>
      </c>
      <c r="G151" s="54">
        <v>0</v>
      </c>
      <c r="H151" s="55">
        <f>(((E151*(1+Parâmetros!B11)*(1+Parâmetros!C11)*(1+Parâmetros!D11))+(F151*(1+Parâmetros!C11)*(1+Parâmetros!D11)+(G151*(1+Parâmetros!D11))))/3)*(1+Parâmetros!E11)</f>
        <v>0</v>
      </c>
      <c r="I151" s="116">
        <f>H151*(1+Parâmetros!F11)</f>
        <v>0</v>
      </c>
      <c r="J151" s="116">
        <f>I151*(1+Parâmetros!G11)</f>
        <v>0</v>
      </c>
      <c r="FW151" s="51"/>
      <c r="FX151" s="51"/>
      <c r="FY151" s="51"/>
      <c r="FZ151" s="51"/>
      <c r="GA151" s="51"/>
      <c r="GB151" s="51"/>
      <c r="GC151" s="51"/>
      <c r="GD151" s="51"/>
      <c r="GE151" s="51"/>
      <c r="GF151" s="51"/>
      <c r="GG151" s="51"/>
      <c r="GH151" s="51"/>
      <c r="GI151" s="51"/>
      <c r="GJ151" s="51"/>
      <c r="GK151" s="51"/>
      <c r="GL151" s="51"/>
      <c r="GM151" s="51"/>
      <c r="GN151" s="51"/>
      <c r="GO151" s="51"/>
      <c r="GP151" s="51"/>
      <c r="GQ151" s="51"/>
      <c r="GR151" s="51"/>
      <c r="GS151" s="51"/>
      <c r="GT151" s="51"/>
      <c r="GU151" s="51"/>
      <c r="GV151" s="51"/>
      <c r="GW151" s="51"/>
      <c r="GX151" s="51"/>
      <c r="GY151" s="51"/>
      <c r="GZ151" s="51"/>
      <c r="HA151" s="51"/>
      <c r="HB151" s="51"/>
      <c r="HC151" s="51"/>
      <c r="HD151" s="51"/>
      <c r="HE151" s="51"/>
      <c r="HF151" s="51"/>
      <c r="HG151" s="51"/>
      <c r="HH151" s="51"/>
      <c r="HI151" s="51"/>
      <c r="HJ151" s="51"/>
      <c r="HK151" s="51"/>
      <c r="HL151" s="51"/>
      <c r="HM151" s="51"/>
      <c r="HN151" s="51"/>
      <c r="HO151" s="51"/>
      <c r="HP151" s="51"/>
      <c r="HQ151" s="51"/>
      <c r="HR151" s="51"/>
      <c r="HS151" s="51"/>
      <c r="HT151" s="51"/>
      <c r="HU151" s="51"/>
      <c r="HV151" s="51"/>
      <c r="HW151" s="51"/>
      <c r="HX151" s="51"/>
      <c r="HY151" s="51"/>
      <c r="HZ151" s="51"/>
      <c r="IA151" s="51"/>
      <c r="IB151" s="51"/>
      <c r="IC151" s="51"/>
      <c r="ID151" s="51"/>
      <c r="IE151" s="51"/>
      <c r="IF151" s="51"/>
      <c r="IG151" s="51"/>
      <c r="IH151" s="51"/>
      <c r="II151" s="51"/>
      <c r="IJ151" s="51"/>
      <c r="IK151" s="51"/>
      <c r="IL151" s="51"/>
      <c r="IM151" s="51"/>
      <c r="IN151" s="51"/>
      <c r="IO151" s="51"/>
      <c r="IP151" s="51"/>
      <c r="IQ151" s="51"/>
      <c r="IR151" s="51"/>
      <c r="IS151" s="51"/>
      <c r="IT151" s="51"/>
      <c r="IU151" s="51"/>
      <c r="IV151" s="51"/>
    </row>
    <row r="152" spans="1:256" s="50" customFormat="1" ht="15.75">
      <c r="A152" s="552" t="s">
        <v>268</v>
      </c>
      <c r="B152" s="552"/>
      <c r="C152" s="115" t="s">
        <v>272</v>
      </c>
      <c r="D152" s="117"/>
      <c r="E152" s="117"/>
      <c r="F152" s="117">
        <v>0</v>
      </c>
      <c r="G152" s="117">
        <v>0</v>
      </c>
      <c r="H152" s="55">
        <f>((E152+F152+G152)/3)*(1+Parâmetros!E11)</f>
        <v>0</v>
      </c>
      <c r="I152" s="55">
        <f>((F152+G152+H152)/3)*(1+Parâmetros!F11)</f>
        <v>0</v>
      </c>
      <c r="J152" s="55">
        <f>((G152+H152+I152)/3)*(1+Parâmetros!G11)</f>
        <v>0</v>
      </c>
      <c r="FW152" s="51"/>
      <c r="FX152" s="51"/>
      <c r="FY152" s="51"/>
      <c r="FZ152" s="51"/>
      <c r="GA152" s="51"/>
      <c r="GB152" s="51"/>
      <c r="GC152" s="51"/>
      <c r="GD152" s="51"/>
      <c r="GE152" s="51"/>
      <c r="GF152" s="51"/>
      <c r="GG152" s="51"/>
      <c r="GH152" s="51"/>
      <c r="GI152" s="51"/>
      <c r="GJ152" s="51"/>
      <c r="GK152" s="51"/>
      <c r="GL152" s="51"/>
      <c r="GM152" s="51"/>
      <c r="GN152" s="51"/>
      <c r="GO152" s="51"/>
      <c r="GP152" s="51"/>
      <c r="GQ152" s="51"/>
      <c r="GR152" s="51"/>
      <c r="GS152" s="51"/>
      <c r="GT152" s="51"/>
      <c r="GU152" s="51"/>
      <c r="GV152" s="51"/>
      <c r="GW152" s="51"/>
      <c r="GX152" s="51"/>
      <c r="GY152" s="51"/>
      <c r="GZ152" s="51"/>
      <c r="HA152" s="51"/>
      <c r="HB152" s="51"/>
      <c r="HC152" s="51"/>
      <c r="HD152" s="51"/>
      <c r="HE152" s="51"/>
      <c r="HF152" s="51"/>
      <c r="HG152" s="51"/>
      <c r="HH152" s="51"/>
      <c r="HI152" s="51"/>
      <c r="HJ152" s="51"/>
      <c r="HK152" s="51"/>
      <c r="HL152" s="51"/>
      <c r="HM152" s="51"/>
      <c r="HN152" s="51"/>
      <c r="HO152" s="51"/>
      <c r="HP152" s="51"/>
      <c r="HQ152" s="51"/>
      <c r="HR152" s="51"/>
      <c r="HS152" s="51"/>
      <c r="HT152" s="51"/>
      <c r="HU152" s="51"/>
      <c r="HV152" s="51"/>
      <c r="HW152" s="51"/>
      <c r="HX152" s="51"/>
      <c r="HY152" s="51"/>
      <c r="HZ152" s="51"/>
      <c r="IA152" s="51"/>
      <c r="IB152" s="51"/>
      <c r="IC152" s="51"/>
      <c r="ID152" s="51"/>
      <c r="IE152" s="51"/>
      <c r="IF152" s="51"/>
      <c r="IG152" s="51"/>
      <c r="IH152" s="51"/>
      <c r="II152" s="51"/>
      <c r="IJ152" s="51"/>
      <c r="IK152" s="51"/>
      <c r="IL152" s="51"/>
      <c r="IM152" s="51"/>
      <c r="IN152" s="51"/>
      <c r="IO152" s="51"/>
      <c r="IP152" s="51"/>
      <c r="IQ152" s="51"/>
      <c r="IR152" s="51"/>
      <c r="IS152" s="51"/>
      <c r="IT152" s="51"/>
      <c r="IU152" s="51"/>
      <c r="IV152" s="51"/>
    </row>
    <row r="153" spans="1:256" s="50" customFormat="1" ht="15.75">
      <c r="A153" s="552" t="s">
        <v>273</v>
      </c>
      <c r="B153" s="552"/>
      <c r="C153" s="115" t="s">
        <v>274</v>
      </c>
      <c r="D153" s="117"/>
      <c r="E153" s="117"/>
      <c r="F153" s="117">
        <v>0</v>
      </c>
      <c r="G153" s="117">
        <v>0</v>
      </c>
      <c r="H153" s="55">
        <f>((E153+F153+G153)/3)*(1+Parâmetros!E11)</f>
        <v>0</v>
      </c>
      <c r="I153" s="55">
        <f>((F153+G153+H153)/3)*(1+Parâmetros!F11)</f>
        <v>0</v>
      </c>
      <c r="J153" s="55">
        <f>((G153+H153+I153)/3)*(1+Parâmetros!G11)</f>
        <v>0</v>
      </c>
      <c r="FW153" s="51"/>
      <c r="FX153" s="51"/>
      <c r="FY153" s="51"/>
      <c r="FZ153" s="51"/>
      <c r="GA153" s="51"/>
      <c r="GB153" s="51"/>
      <c r="GC153" s="51"/>
      <c r="GD153" s="51"/>
      <c r="GE153" s="51"/>
      <c r="GF153" s="51"/>
      <c r="GG153" s="51"/>
      <c r="GH153" s="51"/>
      <c r="GI153" s="51"/>
      <c r="GJ153" s="51"/>
      <c r="GK153" s="51"/>
      <c r="GL153" s="51"/>
      <c r="GM153" s="51"/>
      <c r="GN153" s="51"/>
      <c r="GO153" s="51"/>
      <c r="GP153" s="51"/>
      <c r="GQ153" s="51"/>
      <c r="GR153" s="51"/>
      <c r="GS153" s="51"/>
      <c r="GT153" s="51"/>
      <c r="GU153" s="51"/>
      <c r="GV153" s="51"/>
      <c r="GW153" s="51"/>
      <c r="GX153" s="51"/>
      <c r="GY153" s="51"/>
      <c r="GZ153" s="51"/>
      <c r="HA153" s="51"/>
      <c r="HB153" s="51"/>
      <c r="HC153" s="51"/>
      <c r="HD153" s="51"/>
      <c r="HE153" s="51"/>
      <c r="HF153" s="51"/>
      <c r="HG153" s="51"/>
      <c r="HH153" s="51"/>
      <c r="HI153" s="51"/>
      <c r="HJ153" s="51"/>
      <c r="HK153" s="51"/>
      <c r="HL153" s="51"/>
      <c r="HM153" s="51"/>
      <c r="HN153" s="51"/>
      <c r="HO153" s="51"/>
      <c r="HP153" s="51"/>
      <c r="HQ153" s="51"/>
      <c r="HR153" s="51"/>
      <c r="HS153" s="51"/>
      <c r="HT153" s="51"/>
      <c r="HU153" s="51"/>
      <c r="HV153" s="51"/>
      <c r="HW153" s="51"/>
      <c r="HX153" s="51"/>
      <c r="HY153" s="51"/>
      <c r="HZ153" s="51"/>
      <c r="IA153" s="51"/>
      <c r="IB153" s="51"/>
      <c r="IC153" s="51"/>
      <c r="ID153" s="51"/>
      <c r="IE153" s="51"/>
      <c r="IF153" s="51"/>
      <c r="IG153" s="51"/>
      <c r="IH153" s="51"/>
      <c r="II153" s="51"/>
      <c r="IJ153" s="51"/>
      <c r="IK153" s="51"/>
      <c r="IL153" s="51"/>
      <c r="IM153" s="51"/>
      <c r="IN153" s="51"/>
      <c r="IO153" s="51"/>
      <c r="IP153" s="51"/>
      <c r="IQ153" s="51"/>
      <c r="IR153" s="51"/>
      <c r="IS153" s="51"/>
      <c r="IT153" s="51"/>
      <c r="IU153" s="51"/>
      <c r="IV153" s="51"/>
    </row>
    <row r="154" spans="1:256" s="88" customFormat="1" ht="29.25" customHeight="1">
      <c r="A154" s="122"/>
      <c r="B154" s="122"/>
      <c r="C154" s="123" t="s">
        <v>275</v>
      </c>
      <c r="D154" s="87">
        <f aca="true" t="shared" si="31" ref="D154:J154">D121+D137</f>
        <v>77051133.63</v>
      </c>
      <c r="E154" s="87">
        <f t="shared" si="31"/>
        <v>91748361.86999999</v>
      </c>
      <c r="F154" s="87">
        <f t="shared" si="31"/>
        <v>114672155.91000001</v>
      </c>
      <c r="G154" s="87">
        <f t="shared" si="31"/>
        <v>108790568.35142857</v>
      </c>
      <c r="H154" s="124">
        <f t="shared" si="31"/>
        <v>133587521.91771352</v>
      </c>
      <c r="I154" s="124">
        <f t="shared" si="31"/>
        <v>146729181.74151126</v>
      </c>
      <c r="J154" s="124">
        <f t="shared" si="31"/>
        <v>156037819.6692486</v>
      </c>
      <c r="FW154" s="89"/>
      <c r="FX154" s="89"/>
      <c r="FY154" s="89"/>
      <c r="FZ154" s="89"/>
      <c r="GA154" s="89"/>
      <c r="GB154" s="89"/>
      <c r="GC154" s="89"/>
      <c r="GD154" s="89"/>
      <c r="GE154" s="89"/>
      <c r="GF154" s="89"/>
      <c r="GG154" s="89"/>
      <c r="GH154" s="89"/>
      <c r="GI154" s="89"/>
      <c r="GJ154" s="89"/>
      <c r="GK154" s="89"/>
      <c r="GL154" s="89"/>
      <c r="GM154" s="89"/>
      <c r="GN154" s="89"/>
      <c r="GO154" s="89"/>
      <c r="GP154" s="89"/>
      <c r="GQ154" s="89"/>
      <c r="GR154" s="89"/>
      <c r="GS154" s="89"/>
      <c r="GT154" s="89"/>
      <c r="GU154" s="89"/>
      <c r="GV154" s="89"/>
      <c r="GW154" s="89"/>
      <c r="GX154" s="89"/>
      <c r="GY154" s="89"/>
      <c r="GZ154" s="89"/>
      <c r="HA154" s="89"/>
      <c r="HB154" s="89"/>
      <c r="HC154" s="89"/>
      <c r="HD154" s="89"/>
      <c r="HE154" s="89"/>
      <c r="HF154" s="89"/>
      <c r="HG154" s="89"/>
      <c r="HH154" s="89"/>
      <c r="HI154" s="89"/>
      <c r="HJ154" s="89"/>
      <c r="HK154" s="89"/>
      <c r="HL154" s="89"/>
      <c r="HM154" s="89"/>
      <c r="HN154" s="89"/>
      <c r="HO154" s="89"/>
      <c r="HP154" s="89"/>
      <c r="HQ154" s="89"/>
      <c r="HR154" s="89"/>
      <c r="HS154" s="89"/>
      <c r="HT154" s="89"/>
      <c r="HU154" s="89"/>
      <c r="HV154" s="89"/>
      <c r="HW154" s="89"/>
      <c r="HX154" s="89"/>
      <c r="HY154" s="89"/>
      <c r="HZ154" s="89"/>
      <c r="IA154" s="89"/>
      <c r="IB154" s="89"/>
      <c r="IC154" s="89"/>
      <c r="ID154" s="89"/>
      <c r="IE154" s="89"/>
      <c r="IF154" s="89"/>
      <c r="IG154" s="89"/>
      <c r="IH154" s="89"/>
      <c r="II154" s="89"/>
      <c r="IJ154" s="89"/>
      <c r="IK154" s="89"/>
      <c r="IL154" s="89"/>
      <c r="IM154" s="89"/>
      <c r="IN154" s="89"/>
      <c r="IO154" s="89"/>
      <c r="IP154" s="89"/>
      <c r="IQ154" s="89"/>
      <c r="IR154" s="89"/>
      <c r="IS154" s="89"/>
      <c r="IT154" s="89"/>
      <c r="IU154" s="89"/>
      <c r="IV154" s="89"/>
    </row>
    <row r="155" spans="1:256" s="35" customFormat="1" ht="17.25" customHeight="1" hidden="1">
      <c r="A155" s="125"/>
      <c r="B155" s="126"/>
      <c r="C155" s="127" t="s">
        <v>276</v>
      </c>
      <c r="D155" s="128"/>
      <c r="E155" s="129"/>
      <c r="F155" s="129"/>
      <c r="G155" s="129"/>
      <c r="H155" s="129"/>
      <c r="I155" s="129"/>
      <c r="J155" s="129"/>
      <c r="FW155" s="36"/>
      <c r="FX155" s="36"/>
      <c r="FY155" s="36"/>
      <c r="FZ155" s="36"/>
      <c r="GA155" s="36"/>
      <c r="GB155" s="36"/>
      <c r="GC155" s="36"/>
      <c r="GD155" s="36"/>
      <c r="GE155" s="36"/>
      <c r="GF155" s="36"/>
      <c r="GG155" s="36"/>
      <c r="GH155" s="36"/>
      <c r="GI155" s="36"/>
      <c r="GJ155" s="36"/>
      <c r="GK155" s="36"/>
      <c r="GL155" s="36"/>
      <c r="GM155" s="36"/>
      <c r="GN155" s="36"/>
      <c r="GO155" s="36"/>
      <c r="GP155" s="36"/>
      <c r="GQ155" s="36"/>
      <c r="GR155" s="36"/>
      <c r="GS155" s="36"/>
      <c r="GT155" s="36"/>
      <c r="GU155" s="36"/>
      <c r="GV155" s="36"/>
      <c r="GW155" s="36"/>
      <c r="GX155" s="36"/>
      <c r="GY155" s="36"/>
      <c r="GZ155" s="36"/>
      <c r="HA155" s="36"/>
      <c r="HB155" s="36"/>
      <c r="HC155" s="36"/>
      <c r="HD155" s="36"/>
      <c r="HE155" s="36"/>
      <c r="HF155" s="36"/>
      <c r="HG155" s="36"/>
      <c r="HH155" s="36"/>
      <c r="HI155" s="36"/>
      <c r="HJ155" s="36"/>
      <c r="HK155" s="36"/>
      <c r="HL155" s="36"/>
      <c r="HM155" s="36"/>
      <c r="HN155" s="36"/>
      <c r="HO155" s="36"/>
      <c r="HP155" s="36"/>
      <c r="HQ155" s="36"/>
      <c r="HR155" s="36"/>
      <c r="HS155" s="36"/>
      <c r="HT155" s="36"/>
      <c r="HU155" s="36"/>
      <c r="HV155" s="36"/>
      <c r="HW155" s="36"/>
      <c r="HX155" s="36"/>
      <c r="HY155" s="36"/>
      <c r="HZ155" s="36"/>
      <c r="IA155" s="36"/>
      <c r="IB155" s="36"/>
      <c r="IC155" s="36"/>
      <c r="ID155" s="36"/>
      <c r="IE155" s="36"/>
      <c r="IF155" s="36"/>
      <c r="IG155" s="36"/>
      <c r="IH155" s="36"/>
      <c r="II155" s="36"/>
      <c r="IJ155" s="36"/>
      <c r="IK155" s="36"/>
      <c r="IL155" s="36"/>
      <c r="IM155" s="36"/>
      <c r="IN155" s="36"/>
      <c r="IO155" s="36"/>
      <c r="IP155" s="36"/>
      <c r="IQ155" s="36"/>
      <c r="IR155" s="36"/>
      <c r="IS155" s="36"/>
      <c r="IT155" s="36"/>
      <c r="IU155" s="36"/>
      <c r="IV155" s="36"/>
    </row>
    <row r="156" spans="1:256" s="35" customFormat="1" ht="17.25" customHeight="1" hidden="1">
      <c r="A156" s="130"/>
      <c r="B156" s="131"/>
      <c r="C156" s="132" t="s">
        <v>277</v>
      </c>
      <c r="D156" s="133" t="s">
        <v>278</v>
      </c>
      <c r="E156" s="133" t="e">
        <f>IF(#REF!&gt;0,"REALIZADO","PROJETADO")</f>
        <v>#REF!</v>
      </c>
      <c r="F156" s="133" t="e">
        <f>IF(#REF!&gt;0,"REALIZADO","PROJETADO")</f>
        <v>#REF!</v>
      </c>
      <c r="G156" s="133" t="e">
        <f>IF(#REF!&gt;0,"REALIZADO","PROJETADO")</f>
        <v>#REF!</v>
      </c>
      <c r="H156" s="133" t="s">
        <v>23</v>
      </c>
      <c r="I156" s="133"/>
      <c r="J156" s="133" t="s">
        <v>23</v>
      </c>
      <c r="FW156" s="36"/>
      <c r="FX156" s="36"/>
      <c r="FY156" s="36"/>
      <c r="FZ156" s="36"/>
      <c r="GA156" s="36"/>
      <c r="GB156" s="36"/>
      <c r="GC156" s="36"/>
      <c r="GD156" s="36"/>
      <c r="GE156" s="36"/>
      <c r="GF156" s="36"/>
      <c r="GG156" s="36"/>
      <c r="GH156" s="36"/>
      <c r="GI156" s="36"/>
      <c r="GJ156" s="36"/>
      <c r="GK156" s="36"/>
      <c r="GL156" s="36"/>
      <c r="GM156" s="36"/>
      <c r="GN156" s="36"/>
      <c r="GO156" s="36"/>
      <c r="GP156" s="36"/>
      <c r="GQ156" s="36"/>
      <c r="GR156" s="36"/>
      <c r="GS156" s="36"/>
      <c r="GT156" s="36"/>
      <c r="GU156" s="36"/>
      <c r="GV156" s="36"/>
      <c r="GW156" s="36"/>
      <c r="GX156" s="36"/>
      <c r="GY156" s="36"/>
      <c r="GZ156" s="36"/>
      <c r="HA156" s="36"/>
      <c r="HB156" s="36"/>
      <c r="HC156" s="36"/>
      <c r="HD156" s="36"/>
      <c r="HE156" s="36"/>
      <c r="HF156" s="36"/>
      <c r="HG156" s="36"/>
      <c r="HH156" s="36"/>
      <c r="HI156" s="36"/>
      <c r="HJ156" s="36"/>
      <c r="HK156" s="36"/>
      <c r="HL156" s="36"/>
      <c r="HM156" s="36"/>
      <c r="HN156" s="36"/>
      <c r="HO156" s="36"/>
      <c r="HP156" s="36"/>
      <c r="HQ156" s="36"/>
      <c r="HR156" s="36"/>
      <c r="HS156" s="36"/>
      <c r="HT156" s="36"/>
      <c r="HU156" s="36"/>
      <c r="HV156" s="36"/>
      <c r="HW156" s="36"/>
      <c r="HX156" s="36"/>
      <c r="HY156" s="36"/>
      <c r="HZ156" s="36"/>
      <c r="IA156" s="36"/>
      <c r="IB156" s="36"/>
      <c r="IC156" s="36"/>
      <c r="ID156" s="36"/>
      <c r="IE156" s="36"/>
      <c r="IF156" s="36"/>
      <c r="IG156" s="36"/>
      <c r="IH156" s="36"/>
      <c r="II156" s="36"/>
      <c r="IJ156" s="36"/>
      <c r="IK156" s="36"/>
      <c r="IL156" s="36"/>
      <c r="IM156" s="36"/>
      <c r="IN156" s="36"/>
      <c r="IO156" s="36"/>
      <c r="IP156" s="36"/>
      <c r="IQ156" s="36"/>
      <c r="IR156" s="36"/>
      <c r="IS156" s="36"/>
      <c r="IT156" s="36"/>
      <c r="IU156" s="36"/>
      <c r="IV156" s="36"/>
    </row>
    <row r="157" spans="1:256" s="35" customFormat="1" ht="17.25" customHeight="1" hidden="1">
      <c r="A157" s="130"/>
      <c r="B157" s="131"/>
      <c r="C157" s="134" t="s">
        <v>279</v>
      </c>
      <c r="D157" s="135">
        <v>1999</v>
      </c>
      <c r="E157" s="135">
        <v>2000</v>
      </c>
      <c r="F157" s="135">
        <v>2001</v>
      </c>
      <c r="G157" s="135">
        <v>2002</v>
      </c>
      <c r="H157" s="135">
        <v>2003</v>
      </c>
      <c r="I157" s="135"/>
      <c r="J157" s="135">
        <v>2004</v>
      </c>
      <c r="FW157" s="36"/>
      <c r="FX157" s="36"/>
      <c r="FY157" s="36"/>
      <c r="FZ157" s="36"/>
      <c r="GA157" s="36"/>
      <c r="GB157" s="36"/>
      <c r="GC157" s="36"/>
      <c r="GD157" s="36"/>
      <c r="GE157" s="36"/>
      <c r="GF157" s="36"/>
      <c r="GG157" s="36"/>
      <c r="GH157" s="36"/>
      <c r="GI157" s="36"/>
      <c r="GJ157" s="36"/>
      <c r="GK157" s="36"/>
      <c r="GL157" s="36"/>
      <c r="GM157" s="36"/>
      <c r="GN157" s="36"/>
      <c r="GO157" s="36"/>
      <c r="GP157" s="36"/>
      <c r="GQ157" s="36"/>
      <c r="GR157" s="36"/>
      <c r="GS157" s="36"/>
      <c r="GT157" s="36"/>
      <c r="GU157" s="36"/>
      <c r="GV157" s="36"/>
      <c r="GW157" s="36"/>
      <c r="GX157" s="36"/>
      <c r="GY157" s="36"/>
      <c r="GZ157" s="36"/>
      <c r="HA157" s="36"/>
      <c r="HB157" s="36"/>
      <c r="HC157" s="36"/>
      <c r="HD157" s="36"/>
      <c r="HE157" s="36"/>
      <c r="HF157" s="36"/>
      <c r="HG157" s="36"/>
      <c r="HH157" s="36"/>
      <c r="HI157" s="36"/>
      <c r="HJ157" s="36"/>
      <c r="HK157" s="36"/>
      <c r="HL157" s="36"/>
      <c r="HM157" s="36"/>
      <c r="HN157" s="36"/>
      <c r="HO157" s="36"/>
      <c r="HP157" s="36"/>
      <c r="HQ157" s="36"/>
      <c r="HR157" s="36"/>
      <c r="HS157" s="36"/>
      <c r="HT157" s="36"/>
      <c r="HU157" s="36"/>
      <c r="HV157" s="36"/>
      <c r="HW157" s="36"/>
      <c r="HX157" s="36"/>
      <c r="HY157" s="36"/>
      <c r="HZ157" s="36"/>
      <c r="IA157" s="36"/>
      <c r="IB157" s="36"/>
      <c r="IC157" s="36"/>
      <c r="ID157" s="36"/>
      <c r="IE157" s="36"/>
      <c r="IF157" s="36"/>
      <c r="IG157" s="36"/>
      <c r="IH157" s="36"/>
      <c r="II157" s="36"/>
      <c r="IJ157" s="36"/>
      <c r="IK157" s="36"/>
      <c r="IL157" s="36"/>
      <c r="IM157" s="36"/>
      <c r="IN157" s="36"/>
      <c r="IO157" s="36"/>
      <c r="IP157" s="36"/>
      <c r="IQ157" s="36"/>
      <c r="IR157" s="36"/>
      <c r="IS157" s="36"/>
      <c r="IT157" s="36"/>
      <c r="IU157" s="36"/>
      <c r="IV157" s="36"/>
    </row>
    <row r="158" spans="1:256" s="35" customFormat="1" ht="17.25" customHeight="1" hidden="1">
      <c r="A158" s="130"/>
      <c r="B158" s="131"/>
      <c r="C158" s="127"/>
      <c r="D158" s="136"/>
      <c r="E158" s="136"/>
      <c r="F158" s="136"/>
      <c r="G158" s="136"/>
      <c r="H158" s="136"/>
      <c r="I158" s="136"/>
      <c r="J158" s="136"/>
      <c r="FW158" s="36"/>
      <c r="FX158" s="36"/>
      <c r="FY158" s="36"/>
      <c r="FZ158" s="36"/>
      <c r="GA158" s="36"/>
      <c r="GB158" s="36"/>
      <c r="GC158" s="36"/>
      <c r="GD158" s="36"/>
      <c r="GE158" s="36"/>
      <c r="GF158" s="36"/>
      <c r="GG158" s="36"/>
      <c r="GH158" s="36"/>
      <c r="GI158" s="36"/>
      <c r="GJ158" s="36"/>
      <c r="GK158" s="36"/>
      <c r="GL158" s="36"/>
      <c r="GM158" s="36"/>
      <c r="GN158" s="36"/>
      <c r="GO158" s="36"/>
      <c r="GP158" s="36"/>
      <c r="GQ158" s="36"/>
      <c r="GR158" s="36"/>
      <c r="GS158" s="36"/>
      <c r="GT158" s="36"/>
      <c r="GU158" s="36"/>
      <c r="GV158" s="36"/>
      <c r="GW158" s="36"/>
      <c r="GX158" s="36"/>
      <c r="GY158" s="36"/>
      <c r="GZ158" s="36"/>
      <c r="HA158" s="36"/>
      <c r="HB158" s="36"/>
      <c r="HC158" s="36"/>
      <c r="HD158" s="36"/>
      <c r="HE158" s="36"/>
      <c r="HF158" s="36"/>
      <c r="HG158" s="36"/>
      <c r="HH158" s="36"/>
      <c r="HI158" s="36"/>
      <c r="HJ158" s="36"/>
      <c r="HK158" s="36"/>
      <c r="HL158" s="36"/>
      <c r="HM158" s="36"/>
      <c r="HN158" s="36"/>
      <c r="HO158" s="36"/>
      <c r="HP158" s="36"/>
      <c r="HQ158" s="36"/>
      <c r="HR158" s="36"/>
      <c r="HS158" s="36"/>
      <c r="HT158" s="36"/>
      <c r="HU158" s="36"/>
      <c r="HV158" s="36"/>
      <c r="HW158" s="36"/>
      <c r="HX158" s="36"/>
      <c r="HY158" s="36"/>
      <c r="HZ158" s="36"/>
      <c r="IA158" s="36"/>
      <c r="IB158" s="36"/>
      <c r="IC158" s="36"/>
      <c r="ID158" s="36"/>
      <c r="IE158" s="36"/>
      <c r="IF158" s="36"/>
      <c r="IG158" s="36"/>
      <c r="IH158" s="36"/>
      <c r="II158" s="36"/>
      <c r="IJ158" s="36"/>
      <c r="IK158" s="36"/>
      <c r="IL158" s="36"/>
      <c r="IM158" s="36"/>
      <c r="IN158" s="36"/>
      <c r="IO158" s="36"/>
      <c r="IP158" s="36"/>
      <c r="IQ158" s="36"/>
      <c r="IR158" s="36"/>
      <c r="IS158" s="36"/>
      <c r="IT158" s="36"/>
      <c r="IU158" s="36"/>
      <c r="IV158" s="36"/>
    </row>
    <row r="159" spans="1:256" s="35" customFormat="1" ht="15.75" hidden="1">
      <c r="A159" s="130"/>
      <c r="B159" s="131"/>
      <c r="C159" s="127" t="s">
        <v>280</v>
      </c>
      <c r="D159" s="137" t="e">
        <f>D8-#REF!-D14+D163-#REF!</f>
        <v>#REF!</v>
      </c>
      <c r="E159" s="137" t="e">
        <f>E8-#REF!-E14+E163-#REF!</f>
        <v>#REF!</v>
      </c>
      <c r="F159" s="137" t="e">
        <f>F8-#REF!-F14+F163-#REF!</f>
        <v>#REF!</v>
      </c>
      <c r="G159" s="137" t="e">
        <f>G8-#REF!-G14+G163-#REF!</f>
        <v>#REF!</v>
      </c>
      <c r="H159" s="137" t="e">
        <f>H8-#REF!-H14+H163-#REF!</f>
        <v>#REF!</v>
      </c>
      <c r="I159" s="137"/>
      <c r="J159" s="137" t="e">
        <f>J8-#REF!-J14+J163-#REF!</f>
        <v>#REF!</v>
      </c>
      <c r="FW159" s="36"/>
      <c r="FX159" s="36"/>
      <c r="FY159" s="36"/>
      <c r="FZ159" s="36"/>
      <c r="GA159" s="36"/>
      <c r="GB159" s="36"/>
      <c r="GC159" s="36"/>
      <c r="GD159" s="36"/>
      <c r="GE159" s="36"/>
      <c r="GF159" s="36"/>
      <c r="GG159" s="36"/>
      <c r="GH159" s="36"/>
      <c r="GI159" s="36"/>
      <c r="GJ159" s="36"/>
      <c r="GK159" s="36"/>
      <c r="GL159" s="36"/>
      <c r="GM159" s="36"/>
      <c r="GN159" s="36"/>
      <c r="GO159" s="36"/>
      <c r="GP159" s="36"/>
      <c r="GQ159" s="36"/>
      <c r="GR159" s="36"/>
      <c r="GS159" s="36"/>
      <c r="GT159" s="36"/>
      <c r="GU159" s="36"/>
      <c r="GV159" s="36"/>
      <c r="GW159" s="36"/>
      <c r="GX159" s="36"/>
      <c r="GY159" s="36"/>
      <c r="GZ159" s="36"/>
      <c r="HA159" s="36"/>
      <c r="HB159" s="36"/>
      <c r="HC159" s="36"/>
      <c r="HD159" s="36"/>
      <c r="HE159" s="36"/>
      <c r="HF159" s="36"/>
      <c r="HG159" s="36"/>
      <c r="HH159" s="36"/>
      <c r="HI159" s="36"/>
      <c r="HJ159" s="36"/>
      <c r="HK159" s="36"/>
      <c r="HL159" s="36"/>
      <c r="HM159" s="36"/>
      <c r="HN159" s="36"/>
      <c r="HO159" s="36"/>
      <c r="HP159" s="36"/>
      <c r="HQ159" s="36"/>
      <c r="HR159" s="36"/>
      <c r="HS159" s="36"/>
      <c r="HT159" s="36"/>
      <c r="HU159" s="36"/>
      <c r="HV159" s="36"/>
      <c r="HW159" s="36"/>
      <c r="HX159" s="36"/>
      <c r="HY159" s="36"/>
      <c r="HZ159" s="36"/>
      <c r="IA159" s="36"/>
      <c r="IB159" s="36"/>
      <c r="IC159" s="36"/>
      <c r="ID159" s="36"/>
      <c r="IE159" s="36"/>
      <c r="IF159" s="36"/>
      <c r="IG159" s="36"/>
      <c r="IH159" s="36"/>
      <c r="II159" s="36"/>
      <c r="IJ159" s="36"/>
      <c r="IK159" s="36"/>
      <c r="IL159" s="36"/>
      <c r="IM159" s="36"/>
      <c r="IN159" s="36"/>
      <c r="IO159" s="36"/>
      <c r="IP159" s="36"/>
      <c r="IQ159" s="36"/>
      <c r="IR159" s="36"/>
      <c r="IS159" s="36"/>
      <c r="IT159" s="36"/>
      <c r="IU159" s="36"/>
      <c r="IV159" s="36"/>
    </row>
    <row r="160" spans="1:256" s="35" customFormat="1" ht="15.75" hidden="1">
      <c r="A160" s="130"/>
      <c r="B160" s="131"/>
      <c r="C160" s="127" t="s">
        <v>281</v>
      </c>
      <c r="D160" s="137">
        <f>D9</f>
        <v>17913432.57</v>
      </c>
      <c r="E160" s="137">
        <f>E9</f>
        <v>21763921.55</v>
      </c>
      <c r="F160" s="137">
        <f>F9</f>
        <v>26202303.33</v>
      </c>
      <c r="G160" s="137">
        <f>G9</f>
        <v>29093041.715706144</v>
      </c>
      <c r="H160" s="137">
        <f>H9</f>
        <v>32104660.621956903</v>
      </c>
      <c r="I160" s="137"/>
      <c r="J160" s="137">
        <f>J9</f>
        <v>39418531.31853387</v>
      </c>
      <c r="FW160" s="36"/>
      <c r="FX160" s="36"/>
      <c r="FY160" s="36"/>
      <c r="FZ160" s="36"/>
      <c r="GA160" s="36"/>
      <c r="GB160" s="36"/>
      <c r="GC160" s="36"/>
      <c r="GD160" s="36"/>
      <c r="GE160" s="36"/>
      <c r="GF160" s="36"/>
      <c r="GG160" s="36"/>
      <c r="GH160" s="36"/>
      <c r="GI160" s="36"/>
      <c r="GJ160" s="36"/>
      <c r="GK160" s="36"/>
      <c r="GL160" s="36"/>
      <c r="GM160" s="36"/>
      <c r="GN160" s="36"/>
      <c r="GO160" s="36"/>
      <c r="GP160" s="36"/>
      <c r="GQ160" s="36"/>
      <c r="GR160" s="36"/>
      <c r="GS160" s="36"/>
      <c r="GT160" s="36"/>
      <c r="GU160" s="36"/>
      <c r="GV160" s="36"/>
      <c r="GW160" s="36"/>
      <c r="GX160" s="36"/>
      <c r="GY160" s="36"/>
      <c r="GZ160" s="36"/>
      <c r="HA160" s="36"/>
      <c r="HB160" s="36"/>
      <c r="HC160" s="36"/>
      <c r="HD160" s="36"/>
      <c r="HE160" s="36"/>
      <c r="HF160" s="36"/>
      <c r="HG160" s="36"/>
      <c r="HH160" s="36"/>
      <c r="HI160" s="36"/>
      <c r="HJ160" s="36"/>
      <c r="HK160" s="36"/>
      <c r="HL160" s="36"/>
      <c r="HM160" s="36"/>
      <c r="HN160" s="36"/>
      <c r="HO160" s="36"/>
      <c r="HP160" s="36"/>
      <c r="HQ160" s="36"/>
      <c r="HR160" s="36"/>
      <c r="HS160" s="36"/>
      <c r="HT160" s="36"/>
      <c r="HU160" s="36"/>
      <c r="HV160" s="36"/>
      <c r="HW160" s="36"/>
      <c r="HX160" s="36"/>
      <c r="HY160" s="36"/>
      <c r="HZ160" s="36"/>
      <c r="IA160" s="36"/>
      <c r="IB160" s="36"/>
      <c r="IC160" s="36"/>
      <c r="ID160" s="36"/>
      <c r="IE160" s="36"/>
      <c r="IF160" s="36"/>
      <c r="IG160" s="36"/>
      <c r="IH160" s="36"/>
      <c r="II160" s="36"/>
      <c r="IJ160" s="36"/>
      <c r="IK160" s="36"/>
      <c r="IL160" s="36"/>
      <c r="IM160" s="36"/>
      <c r="IN160" s="36"/>
      <c r="IO160" s="36"/>
      <c r="IP160" s="36"/>
      <c r="IQ160" s="36"/>
      <c r="IR160" s="36"/>
      <c r="IS160" s="36"/>
      <c r="IT160" s="36"/>
      <c r="IU160" s="36"/>
      <c r="IV160" s="36"/>
    </row>
    <row r="161" spans="1:256" s="35" customFormat="1" ht="15.75" hidden="1">
      <c r="A161" s="130"/>
      <c r="B161" s="131"/>
      <c r="C161" s="127" t="s">
        <v>282</v>
      </c>
      <c r="D161" s="137" t="e">
        <f>D18+D19+D20+#REF!+#REF!+#REF!+#REF!</f>
        <v>#REF!</v>
      </c>
      <c r="E161" s="137" t="e">
        <f>E18+E19+E20+#REF!+#REF!+#REF!+#REF!</f>
        <v>#REF!</v>
      </c>
      <c r="F161" s="137" t="e">
        <f>F18+F19+F20+#REF!+#REF!+#REF!+#REF!</f>
        <v>#REF!</v>
      </c>
      <c r="G161" s="137" t="e">
        <f>G18+G19+G20+#REF!+#REF!+#REF!+#REF!</f>
        <v>#REF!</v>
      </c>
      <c r="H161" s="137" t="e">
        <f>H18+H19+H20+#REF!+#REF!+#REF!+#REF!</f>
        <v>#REF!</v>
      </c>
      <c r="I161" s="137"/>
      <c r="J161" s="137" t="e">
        <f>J18+J19+J20+#REF!+#REF!+#REF!+#REF!</f>
        <v>#REF!</v>
      </c>
      <c r="FW161" s="36"/>
      <c r="FX161" s="36"/>
      <c r="FY161" s="36"/>
      <c r="FZ161" s="36"/>
      <c r="GA161" s="36"/>
      <c r="GB161" s="36"/>
      <c r="GC161" s="36"/>
      <c r="GD161" s="36"/>
      <c r="GE161" s="36"/>
      <c r="GF161" s="36"/>
      <c r="GG161" s="36"/>
      <c r="GH161" s="36"/>
      <c r="GI161" s="36"/>
      <c r="GJ161" s="36"/>
      <c r="GK161" s="36"/>
      <c r="GL161" s="36"/>
      <c r="GM161" s="36"/>
      <c r="GN161" s="36"/>
      <c r="GO161" s="36"/>
      <c r="GP161" s="36"/>
      <c r="GQ161" s="36"/>
      <c r="GR161" s="36"/>
      <c r="GS161" s="36"/>
      <c r="GT161" s="36"/>
      <c r="GU161" s="36"/>
      <c r="GV161" s="36"/>
      <c r="GW161" s="36"/>
      <c r="GX161" s="36"/>
      <c r="GY161" s="36"/>
      <c r="GZ161" s="36"/>
      <c r="HA161" s="36"/>
      <c r="HB161" s="36"/>
      <c r="HC161" s="36"/>
      <c r="HD161" s="36"/>
      <c r="HE161" s="36"/>
      <c r="HF161" s="36"/>
      <c r="HG161" s="36"/>
      <c r="HH161" s="36"/>
      <c r="HI161" s="36"/>
      <c r="HJ161" s="36"/>
      <c r="HK161" s="36"/>
      <c r="HL161" s="36"/>
      <c r="HM161" s="36"/>
      <c r="HN161" s="36"/>
      <c r="HO161" s="36"/>
      <c r="HP161" s="36"/>
      <c r="HQ161" s="36"/>
      <c r="HR161" s="36"/>
      <c r="HS161" s="36"/>
      <c r="HT161" s="36"/>
      <c r="HU161" s="36"/>
      <c r="HV161" s="36"/>
      <c r="HW161" s="36"/>
      <c r="HX161" s="36"/>
      <c r="HY161" s="36"/>
      <c r="HZ161" s="36"/>
      <c r="IA161" s="36"/>
      <c r="IB161" s="36"/>
      <c r="IC161" s="36"/>
      <c r="ID161" s="36"/>
      <c r="IE161" s="36"/>
      <c r="IF161" s="36"/>
      <c r="IG161" s="36"/>
      <c r="IH161" s="36"/>
      <c r="II161" s="36"/>
      <c r="IJ161" s="36"/>
      <c r="IK161" s="36"/>
      <c r="IL161" s="36"/>
      <c r="IM161" s="36"/>
      <c r="IN161" s="36"/>
      <c r="IO161" s="36"/>
      <c r="IP161" s="36"/>
      <c r="IQ161" s="36"/>
      <c r="IR161" s="36"/>
      <c r="IS161" s="36"/>
      <c r="IT161" s="36"/>
      <c r="IU161" s="36"/>
      <c r="IV161" s="36"/>
    </row>
    <row r="162" spans="1:256" s="35" customFormat="1" ht="15.75" hidden="1">
      <c r="A162" s="130"/>
      <c r="B162" s="131"/>
      <c r="C162" s="127" t="s">
        <v>283</v>
      </c>
      <c r="D162" s="137" t="e">
        <f>#REF!</f>
        <v>#REF!</v>
      </c>
      <c r="E162" s="137" t="e">
        <f>#REF!</f>
        <v>#REF!</v>
      </c>
      <c r="F162" s="137" t="e">
        <f>#REF!</f>
        <v>#REF!</v>
      </c>
      <c r="G162" s="137" t="e">
        <f>#REF!</f>
        <v>#REF!</v>
      </c>
      <c r="H162" s="137" t="e">
        <f>#REF!</f>
        <v>#REF!</v>
      </c>
      <c r="I162" s="137"/>
      <c r="J162" s="137" t="e">
        <f>#REF!</f>
        <v>#REF!</v>
      </c>
      <c r="FW162" s="36"/>
      <c r="FX162" s="36"/>
      <c r="FY162" s="36"/>
      <c r="FZ162" s="36"/>
      <c r="GA162" s="36"/>
      <c r="GB162" s="36"/>
      <c r="GC162" s="36"/>
      <c r="GD162" s="36"/>
      <c r="GE162" s="36"/>
      <c r="GF162" s="36"/>
      <c r="GG162" s="36"/>
      <c r="GH162" s="36"/>
      <c r="GI162" s="36"/>
      <c r="GJ162" s="36"/>
      <c r="GK162" s="36"/>
      <c r="GL162" s="36"/>
      <c r="GM162" s="36"/>
      <c r="GN162" s="36"/>
      <c r="GO162" s="36"/>
      <c r="GP162" s="36"/>
      <c r="GQ162" s="36"/>
      <c r="GR162" s="36"/>
      <c r="GS162" s="36"/>
      <c r="GT162" s="36"/>
      <c r="GU162" s="36"/>
      <c r="GV162" s="36"/>
      <c r="GW162" s="36"/>
      <c r="GX162" s="36"/>
      <c r="GY162" s="36"/>
      <c r="GZ162" s="36"/>
      <c r="HA162" s="36"/>
      <c r="HB162" s="36"/>
      <c r="HC162" s="36"/>
      <c r="HD162" s="36"/>
      <c r="HE162" s="36"/>
      <c r="HF162" s="36"/>
      <c r="HG162" s="36"/>
      <c r="HH162" s="36"/>
      <c r="HI162" s="36"/>
      <c r="HJ162" s="36"/>
      <c r="HK162" s="36"/>
      <c r="HL162" s="36"/>
      <c r="HM162" s="36"/>
      <c r="HN162" s="36"/>
      <c r="HO162" s="36"/>
      <c r="HP162" s="36"/>
      <c r="HQ162" s="36"/>
      <c r="HR162" s="36"/>
      <c r="HS162" s="36"/>
      <c r="HT162" s="36"/>
      <c r="HU162" s="36"/>
      <c r="HV162" s="36"/>
      <c r="HW162" s="36"/>
      <c r="HX162" s="36"/>
      <c r="HY162" s="36"/>
      <c r="HZ162" s="36"/>
      <c r="IA162" s="36"/>
      <c r="IB162" s="36"/>
      <c r="IC162" s="36"/>
      <c r="ID162" s="36"/>
      <c r="IE162" s="36"/>
      <c r="IF162" s="36"/>
      <c r="IG162" s="36"/>
      <c r="IH162" s="36"/>
      <c r="II162" s="36"/>
      <c r="IJ162" s="36"/>
      <c r="IK162" s="36"/>
      <c r="IL162" s="36"/>
      <c r="IM162" s="36"/>
      <c r="IN162" s="36"/>
      <c r="IO162" s="36"/>
      <c r="IP162" s="36"/>
      <c r="IQ162" s="36"/>
      <c r="IR162" s="36"/>
      <c r="IS162" s="36"/>
      <c r="IT162" s="36"/>
      <c r="IU162" s="36"/>
      <c r="IV162" s="36"/>
    </row>
    <row r="163" spans="1:256" s="35" customFormat="1" ht="15.75" hidden="1">
      <c r="A163" s="130"/>
      <c r="B163" s="131"/>
      <c r="C163" s="127" t="s">
        <v>284</v>
      </c>
      <c r="D163" s="137" t="e">
        <f>#REF!-#REF!</f>
        <v>#REF!</v>
      </c>
      <c r="E163" s="137" t="e">
        <f>#REF!-#REF!</f>
        <v>#REF!</v>
      </c>
      <c r="F163" s="137" t="e">
        <f>#REF!-#REF!</f>
        <v>#REF!</v>
      </c>
      <c r="G163" s="137" t="e">
        <f>#REF!-#REF!</f>
        <v>#REF!</v>
      </c>
      <c r="H163" s="137" t="e">
        <f>#REF!-#REF!</f>
        <v>#REF!</v>
      </c>
      <c r="I163" s="137"/>
      <c r="J163" s="137" t="e">
        <f>#REF!-#REF!</f>
        <v>#REF!</v>
      </c>
      <c r="FW163" s="36"/>
      <c r="FX163" s="36"/>
      <c r="FY163" s="36"/>
      <c r="FZ163" s="36"/>
      <c r="GA163" s="36"/>
      <c r="GB163" s="36"/>
      <c r="GC163" s="36"/>
      <c r="GD163" s="36"/>
      <c r="GE163" s="36"/>
      <c r="GF163" s="36"/>
      <c r="GG163" s="36"/>
      <c r="GH163" s="36"/>
      <c r="GI163" s="36"/>
      <c r="GJ163" s="36"/>
      <c r="GK163" s="36"/>
      <c r="GL163" s="36"/>
      <c r="GM163" s="36"/>
      <c r="GN163" s="36"/>
      <c r="GO163" s="36"/>
      <c r="GP163" s="36"/>
      <c r="GQ163" s="36"/>
      <c r="GR163" s="36"/>
      <c r="GS163" s="36"/>
      <c r="GT163" s="36"/>
      <c r="GU163" s="36"/>
      <c r="GV163" s="36"/>
      <c r="GW163" s="36"/>
      <c r="GX163" s="36"/>
      <c r="GY163" s="36"/>
      <c r="GZ163" s="36"/>
      <c r="HA163" s="36"/>
      <c r="HB163" s="36"/>
      <c r="HC163" s="36"/>
      <c r="HD163" s="36"/>
      <c r="HE163" s="36"/>
      <c r="HF163" s="36"/>
      <c r="HG163" s="36"/>
      <c r="HH163" s="36"/>
      <c r="HI163" s="36"/>
      <c r="HJ163" s="36"/>
      <c r="HK163" s="36"/>
      <c r="HL163" s="36"/>
      <c r="HM163" s="36"/>
      <c r="HN163" s="36"/>
      <c r="HO163" s="36"/>
      <c r="HP163" s="36"/>
      <c r="HQ163" s="36"/>
      <c r="HR163" s="36"/>
      <c r="HS163" s="36"/>
      <c r="HT163" s="36"/>
      <c r="HU163" s="36"/>
      <c r="HV163" s="36"/>
      <c r="HW163" s="36"/>
      <c r="HX163" s="36"/>
      <c r="HY163" s="36"/>
      <c r="HZ163" s="36"/>
      <c r="IA163" s="36"/>
      <c r="IB163" s="36"/>
      <c r="IC163" s="36"/>
      <c r="ID163" s="36"/>
      <c r="IE163" s="36"/>
      <c r="IF163" s="36"/>
      <c r="IG163" s="36"/>
      <c r="IH163" s="36"/>
      <c r="II163" s="36"/>
      <c r="IJ163" s="36"/>
      <c r="IK163" s="36"/>
      <c r="IL163" s="36"/>
      <c r="IM163" s="36"/>
      <c r="IN163" s="36"/>
      <c r="IO163" s="36"/>
      <c r="IP163" s="36"/>
      <c r="IQ163" s="36"/>
      <c r="IR163" s="36"/>
      <c r="IS163" s="36"/>
      <c r="IT163" s="36"/>
      <c r="IU163" s="36"/>
      <c r="IV163" s="36"/>
    </row>
    <row r="164" spans="1:256" s="35" customFormat="1" ht="15.75" hidden="1">
      <c r="A164" s="130"/>
      <c r="B164" s="131"/>
      <c r="C164" s="127" t="s">
        <v>285</v>
      </c>
      <c r="D164" s="137" t="e">
        <f>#REF!</f>
        <v>#REF!</v>
      </c>
      <c r="E164" s="137" t="e">
        <f>#REF!</f>
        <v>#REF!</v>
      </c>
      <c r="F164" s="137" t="e">
        <f>#REF!</f>
        <v>#REF!</v>
      </c>
      <c r="G164" s="137" t="e">
        <f>#REF!</f>
        <v>#REF!</v>
      </c>
      <c r="H164" s="137" t="e">
        <f>#REF!</f>
        <v>#REF!</v>
      </c>
      <c r="I164" s="137"/>
      <c r="J164" s="137" t="e">
        <f>#REF!</f>
        <v>#REF!</v>
      </c>
      <c r="FW164" s="36"/>
      <c r="FX164" s="36"/>
      <c r="FY164" s="36"/>
      <c r="FZ164" s="36"/>
      <c r="GA164" s="36"/>
      <c r="GB164" s="36"/>
      <c r="GC164" s="36"/>
      <c r="GD164" s="36"/>
      <c r="GE164" s="36"/>
      <c r="GF164" s="36"/>
      <c r="GG164" s="36"/>
      <c r="GH164" s="36"/>
      <c r="GI164" s="36"/>
      <c r="GJ164" s="36"/>
      <c r="GK164" s="36"/>
      <c r="GL164" s="36"/>
      <c r="GM164" s="36"/>
      <c r="GN164" s="36"/>
      <c r="GO164" s="36"/>
      <c r="GP164" s="36"/>
      <c r="GQ164" s="36"/>
      <c r="GR164" s="36"/>
      <c r="GS164" s="36"/>
      <c r="GT164" s="36"/>
      <c r="GU164" s="36"/>
      <c r="GV164" s="36"/>
      <c r="GW164" s="36"/>
      <c r="GX164" s="36"/>
      <c r="GY164" s="36"/>
      <c r="GZ164" s="36"/>
      <c r="HA164" s="36"/>
      <c r="HB164" s="36"/>
      <c r="HC164" s="36"/>
      <c r="HD164" s="36"/>
      <c r="HE164" s="36"/>
      <c r="HF164" s="36"/>
      <c r="HG164" s="36"/>
      <c r="HH164" s="36"/>
      <c r="HI164" s="36"/>
      <c r="HJ164" s="36"/>
      <c r="HK164" s="36"/>
      <c r="HL164" s="36"/>
      <c r="HM164" s="36"/>
      <c r="HN164" s="36"/>
      <c r="HO164" s="36"/>
      <c r="HP164" s="36"/>
      <c r="HQ164" s="36"/>
      <c r="HR164" s="36"/>
      <c r="HS164" s="36"/>
      <c r="HT164" s="36"/>
      <c r="HU164" s="36"/>
      <c r="HV164" s="36"/>
      <c r="HW164" s="36"/>
      <c r="HX164" s="36"/>
      <c r="HY164" s="36"/>
      <c r="HZ164" s="36"/>
      <c r="IA164" s="36"/>
      <c r="IB164" s="36"/>
      <c r="IC164" s="36"/>
      <c r="ID164" s="36"/>
      <c r="IE164" s="36"/>
      <c r="IF164" s="36"/>
      <c r="IG164" s="36"/>
      <c r="IH164" s="36"/>
      <c r="II164" s="36"/>
      <c r="IJ164" s="36"/>
      <c r="IK164" s="36"/>
      <c r="IL164" s="36"/>
      <c r="IM164" s="36"/>
      <c r="IN164" s="36"/>
      <c r="IO164" s="36"/>
      <c r="IP164" s="36"/>
      <c r="IQ164" s="36"/>
      <c r="IR164" s="36"/>
      <c r="IS164" s="36"/>
      <c r="IT164" s="36"/>
      <c r="IU164" s="36"/>
      <c r="IV164" s="36"/>
    </row>
    <row r="165" spans="1:256" s="35" customFormat="1" ht="15.75" hidden="1">
      <c r="A165" s="130"/>
      <c r="B165" s="131"/>
      <c r="C165" s="127" t="s">
        <v>286</v>
      </c>
      <c r="D165" s="137" t="e">
        <f>#REF!</f>
        <v>#REF!</v>
      </c>
      <c r="E165" s="137" t="e">
        <f>#REF!</f>
        <v>#REF!</v>
      </c>
      <c r="F165" s="137" t="e">
        <f>#REF!</f>
        <v>#REF!</v>
      </c>
      <c r="G165" s="137" t="e">
        <f>#REF!</f>
        <v>#REF!</v>
      </c>
      <c r="H165" s="137" t="e">
        <f>#REF!</f>
        <v>#REF!</v>
      </c>
      <c r="I165" s="137"/>
      <c r="J165" s="137" t="e">
        <f>#REF!</f>
        <v>#REF!</v>
      </c>
      <c r="FW165" s="36"/>
      <c r="FX165" s="36"/>
      <c r="FY165" s="36"/>
      <c r="FZ165" s="36"/>
      <c r="GA165" s="36"/>
      <c r="GB165" s="36"/>
      <c r="GC165" s="36"/>
      <c r="GD165" s="36"/>
      <c r="GE165" s="36"/>
      <c r="GF165" s="36"/>
      <c r="GG165" s="36"/>
      <c r="GH165" s="36"/>
      <c r="GI165" s="36"/>
      <c r="GJ165" s="36"/>
      <c r="GK165" s="36"/>
      <c r="GL165" s="36"/>
      <c r="GM165" s="36"/>
      <c r="GN165" s="36"/>
      <c r="GO165" s="36"/>
      <c r="GP165" s="36"/>
      <c r="GQ165" s="36"/>
      <c r="GR165" s="36"/>
      <c r="GS165" s="36"/>
      <c r="GT165" s="36"/>
      <c r="GU165" s="36"/>
      <c r="GV165" s="36"/>
      <c r="GW165" s="36"/>
      <c r="GX165" s="36"/>
      <c r="GY165" s="36"/>
      <c r="GZ165" s="36"/>
      <c r="HA165" s="36"/>
      <c r="HB165" s="36"/>
      <c r="HC165" s="36"/>
      <c r="HD165" s="36"/>
      <c r="HE165" s="36"/>
      <c r="HF165" s="36"/>
      <c r="HG165" s="36"/>
      <c r="HH165" s="36"/>
      <c r="HI165" s="36"/>
      <c r="HJ165" s="36"/>
      <c r="HK165" s="36"/>
      <c r="HL165" s="36"/>
      <c r="HM165" s="36"/>
      <c r="HN165" s="36"/>
      <c r="HO165" s="36"/>
      <c r="HP165" s="36"/>
      <c r="HQ165" s="36"/>
      <c r="HR165" s="36"/>
      <c r="HS165" s="36"/>
      <c r="HT165" s="36"/>
      <c r="HU165" s="36"/>
      <c r="HV165" s="36"/>
      <c r="HW165" s="36"/>
      <c r="HX165" s="36"/>
      <c r="HY165" s="36"/>
      <c r="HZ165" s="36"/>
      <c r="IA165" s="36"/>
      <c r="IB165" s="36"/>
      <c r="IC165" s="36"/>
      <c r="ID165" s="36"/>
      <c r="IE165" s="36"/>
      <c r="IF165" s="36"/>
      <c r="IG165" s="36"/>
      <c r="IH165" s="36"/>
      <c r="II165" s="36"/>
      <c r="IJ165" s="36"/>
      <c r="IK165" s="36"/>
      <c r="IL165" s="36"/>
      <c r="IM165" s="36"/>
      <c r="IN165" s="36"/>
      <c r="IO165" s="36"/>
      <c r="IP165" s="36"/>
      <c r="IQ165" s="36"/>
      <c r="IR165" s="36"/>
      <c r="IS165" s="36"/>
      <c r="IT165" s="36"/>
      <c r="IU165" s="36"/>
      <c r="IV165" s="36"/>
    </row>
    <row r="166" spans="1:256" s="35" customFormat="1" ht="15.75" hidden="1">
      <c r="A166" s="130"/>
      <c r="B166" s="131"/>
      <c r="C166" s="127" t="s">
        <v>287</v>
      </c>
      <c r="D166" s="137" t="e">
        <f>#REF!</f>
        <v>#REF!</v>
      </c>
      <c r="E166" s="137" t="e">
        <f>#REF!</f>
        <v>#REF!</v>
      </c>
      <c r="F166" s="137" t="e">
        <f>#REF!</f>
        <v>#REF!</v>
      </c>
      <c r="G166" s="137" t="e">
        <f>#REF!</f>
        <v>#REF!</v>
      </c>
      <c r="H166" s="137" t="e">
        <f>#REF!</f>
        <v>#REF!</v>
      </c>
      <c r="I166" s="137"/>
      <c r="J166" s="137" t="e">
        <f>#REF!</f>
        <v>#REF!</v>
      </c>
      <c r="FW166" s="36"/>
      <c r="FX166" s="36"/>
      <c r="FY166" s="36"/>
      <c r="FZ166" s="36"/>
      <c r="GA166" s="36"/>
      <c r="GB166" s="36"/>
      <c r="GC166" s="36"/>
      <c r="GD166" s="36"/>
      <c r="GE166" s="36"/>
      <c r="GF166" s="36"/>
      <c r="GG166" s="36"/>
      <c r="GH166" s="36"/>
      <c r="GI166" s="36"/>
      <c r="GJ166" s="36"/>
      <c r="GK166" s="36"/>
      <c r="GL166" s="36"/>
      <c r="GM166" s="36"/>
      <c r="GN166" s="36"/>
      <c r="GO166" s="36"/>
      <c r="GP166" s="36"/>
      <c r="GQ166" s="36"/>
      <c r="GR166" s="36"/>
      <c r="GS166" s="36"/>
      <c r="GT166" s="36"/>
      <c r="GU166" s="36"/>
      <c r="GV166" s="36"/>
      <c r="GW166" s="36"/>
      <c r="GX166" s="36"/>
      <c r="GY166" s="36"/>
      <c r="GZ166" s="36"/>
      <c r="HA166" s="36"/>
      <c r="HB166" s="36"/>
      <c r="HC166" s="36"/>
      <c r="HD166" s="36"/>
      <c r="HE166" s="36"/>
      <c r="HF166" s="36"/>
      <c r="HG166" s="36"/>
      <c r="HH166" s="36"/>
      <c r="HI166" s="36"/>
      <c r="HJ166" s="36"/>
      <c r="HK166" s="36"/>
      <c r="HL166" s="36"/>
      <c r="HM166" s="36"/>
      <c r="HN166" s="36"/>
      <c r="HO166" s="36"/>
      <c r="HP166" s="36"/>
      <c r="HQ166" s="36"/>
      <c r="HR166" s="36"/>
      <c r="HS166" s="36"/>
      <c r="HT166" s="36"/>
      <c r="HU166" s="36"/>
      <c r="HV166" s="36"/>
      <c r="HW166" s="36"/>
      <c r="HX166" s="36"/>
      <c r="HY166" s="36"/>
      <c r="HZ166" s="36"/>
      <c r="IA166" s="36"/>
      <c r="IB166" s="36"/>
      <c r="IC166" s="36"/>
      <c r="ID166" s="36"/>
      <c r="IE166" s="36"/>
      <c r="IF166" s="36"/>
      <c r="IG166" s="36"/>
      <c r="IH166" s="36"/>
      <c r="II166" s="36"/>
      <c r="IJ166" s="36"/>
      <c r="IK166" s="36"/>
      <c r="IL166" s="36"/>
      <c r="IM166" s="36"/>
      <c r="IN166" s="36"/>
      <c r="IO166" s="36"/>
      <c r="IP166" s="36"/>
      <c r="IQ166" s="36"/>
      <c r="IR166" s="36"/>
      <c r="IS166" s="36"/>
      <c r="IT166" s="36"/>
      <c r="IU166" s="36"/>
      <c r="IV166" s="36"/>
    </row>
    <row r="167" spans="1:256" s="35" customFormat="1" ht="15.75" hidden="1">
      <c r="A167" s="130"/>
      <c r="B167" s="131"/>
      <c r="C167" s="127" t="s">
        <v>288</v>
      </c>
      <c r="D167" s="137" t="e">
        <f>#REF!</f>
        <v>#REF!</v>
      </c>
      <c r="E167" s="137" t="e">
        <f>#REF!</f>
        <v>#REF!</v>
      </c>
      <c r="F167" s="137" t="e">
        <f>#REF!</f>
        <v>#REF!</v>
      </c>
      <c r="G167" s="137" t="e">
        <f>#REF!</f>
        <v>#REF!</v>
      </c>
      <c r="H167" s="137" t="e">
        <f>#REF!</f>
        <v>#REF!</v>
      </c>
      <c r="I167" s="137"/>
      <c r="J167" s="137" t="e">
        <f>#REF!</f>
        <v>#REF!</v>
      </c>
      <c r="FW167" s="36"/>
      <c r="FX167" s="36"/>
      <c r="FY167" s="36"/>
      <c r="FZ167" s="36"/>
      <c r="GA167" s="36"/>
      <c r="GB167" s="36"/>
      <c r="GC167" s="36"/>
      <c r="GD167" s="36"/>
      <c r="GE167" s="36"/>
      <c r="GF167" s="36"/>
      <c r="GG167" s="36"/>
      <c r="GH167" s="36"/>
      <c r="GI167" s="36"/>
      <c r="GJ167" s="36"/>
      <c r="GK167" s="36"/>
      <c r="GL167" s="36"/>
      <c r="GM167" s="36"/>
      <c r="GN167" s="36"/>
      <c r="GO167" s="36"/>
      <c r="GP167" s="36"/>
      <c r="GQ167" s="36"/>
      <c r="GR167" s="36"/>
      <c r="GS167" s="36"/>
      <c r="GT167" s="36"/>
      <c r="GU167" s="36"/>
      <c r="GV167" s="36"/>
      <c r="GW167" s="36"/>
      <c r="GX167" s="36"/>
      <c r="GY167" s="36"/>
      <c r="GZ167" s="36"/>
      <c r="HA167" s="36"/>
      <c r="HB167" s="36"/>
      <c r="HC167" s="36"/>
      <c r="HD167" s="36"/>
      <c r="HE167" s="36"/>
      <c r="HF167" s="36"/>
      <c r="HG167" s="36"/>
      <c r="HH167" s="36"/>
      <c r="HI167" s="36"/>
      <c r="HJ167" s="36"/>
      <c r="HK167" s="36"/>
      <c r="HL167" s="36"/>
      <c r="HM167" s="36"/>
      <c r="HN167" s="36"/>
      <c r="HO167" s="36"/>
      <c r="HP167" s="36"/>
      <c r="HQ167" s="36"/>
      <c r="HR167" s="36"/>
      <c r="HS167" s="36"/>
      <c r="HT167" s="36"/>
      <c r="HU167" s="36"/>
      <c r="HV167" s="36"/>
      <c r="HW167" s="36"/>
      <c r="HX167" s="36"/>
      <c r="HY167" s="36"/>
      <c r="HZ167" s="36"/>
      <c r="IA167" s="36"/>
      <c r="IB167" s="36"/>
      <c r="IC167" s="36"/>
      <c r="ID167" s="36"/>
      <c r="IE167" s="36"/>
      <c r="IF167" s="36"/>
      <c r="IG167" s="36"/>
      <c r="IH167" s="36"/>
      <c r="II167" s="36"/>
      <c r="IJ167" s="36"/>
      <c r="IK167" s="36"/>
      <c r="IL167" s="36"/>
      <c r="IM167" s="36"/>
      <c r="IN167" s="36"/>
      <c r="IO167" s="36"/>
      <c r="IP167" s="36"/>
      <c r="IQ167" s="36"/>
      <c r="IR167" s="36"/>
      <c r="IS167" s="36"/>
      <c r="IT167" s="36"/>
      <c r="IU167" s="36"/>
      <c r="IV167" s="36"/>
    </row>
    <row r="168" spans="1:256" s="35" customFormat="1" ht="15.75" hidden="1">
      <c r="A168" s="130"/>
      <c r="B168" s="131"/>
      <c r="C168" s="127" t="s">
        <v>289</v>
      </c>
      <c r="D168" s="137" t="e">
        <f>#REF!+#REF!+D144+D145+D149+#REF!+#REF!+D154+D127+#REF!</f>
        <v>#REF!</v>
      </c>
      <c r="E168" s="137" t="e">
        <f>#REF!+#REF!+E144+E145+E149+#REF!+#REF!+E154+E127+#REF!</f>
        <v>#REF!</v>
      </c>
      <c r="F168" s="137" t="e">
        <f>#REF!+#REF!+F144+F145+F149+#REF!+#REF!+F154+F127+#REF!</f>
        <v>#REF!</v>
      </c>
      <c r="G168" s="137" t="e">
        <f>#REF!+#REF!+G144+G145+G149+#REF!+#REF!+G154+G127+#REF!</f>
        <v>#REF!</v>
      </c>
      <c r="H168" s="137" t="e">
        <f>#REF!+#REF!+H144+H145+H149+#REF!+#REF!+H154+H127+#REF!</f>
        <v>#REF!</v>
      </c>
      <c r="I168" s="137"/>
      <c r="J168" s="137" t="e">
        <f>#REF!+#REF!+J144+J145+J149+#REF!+#REF!+J154+J127+#REF!</f>
        <v>#REF!</v>
      </c>
      <c r="FW168" s="36"/>
      <c r="FX168" s="36"/>
      <c r="FY168" s="36"/>
      <c r="FZ168" s="36"/>
      <c r="GA168" s="36"/>
      <c r="GB168" s="36"/>
      <c r="GC168" s="36"/>
      <c r="GD168" s="36"/>
      <c r="GE168" s="36"/>
      <c r="GF168" s="36"/>
      <c r="GG168" s="36"/>
      <c r="GH168" s="36"/>
      <c r="GI168" s="36"/>
      <c r="GJ168" s="36"/>
      <c r="GK168" s="36"/>
      <c r="GL168" s="36"/>
      <c r="GM168" s="36"/>
      <c r="GN168" s="36"/>
      <c r="GO168" s="36"/>
      <c r="GP168" s="36"/>
      <c r="GQ168" s="36"/>
      <c r="GR168" s="36"/>
      <c r="GS168" s="36"/>
      <c r="GT168" s="36"/>
      <c r="GU168" s="36"/>
      <c r="GV168" s="36"/>
      <c r="GW168" s="36"/>
      <c r="GX168" s="36"/>
      <c r="GY168" s="36"/>
      <c r="GZ168" s="36"/>
      <c r="HA168" s="36"/>
      <c r="HB168" s="36"/>
      <c r="HC168" s="36"/>
      <c r="HD168" s="36"/>
      <c r="HE168" s="36"/>
      <c r="HF168" s="36"/>
      <c r="HG168" s="36"/>
      <c r="HH168" s="36"/>
      <c r="HI168" s="36"/>
      <c r="HJ168" s="36"/>
      <c r="HK168" s="36"/>
      <c r="HL168" s="36"/>
      <c r="HM168" s="36"/>
      <c r="HN168" s="36"/>
      <c r="HO168" s="36"/>
      <c r="HP168" s="36"/>
      <c r="HQ168" s="36"/>
      <c r="HR168" s="36"/>
      <c r="HS168" s="36"/>
      <c r="HT168" s="36"/>
      <c r="HU168" s="36"/>
      <c r="HV168" s="36"/>
      <c r="HW168" s="36"/>
      <c r="HX168" s="36"/>
      <c r="HY168" s="36"/>
      <c r="HZ168" s="36"/>
      <c r="IA168" s="36"/>
      <c r="IB168" s="36"/>
      <c r="IC168" s="36"/>
      <c r="ID168" s="36"/>
      <c r="IE168" s="36"/>
      <c r="IF168" s="36"/>
      <c r="IG168" s="36"/>
      <c r="IH168" s="36"/>
      <c r="II168" s="36"/>
      <c r="IJ168" s="36"/>
      <c r="IK168" s="36"/>
      <c r="IL168" s="36"/>
      <c r="IM168" s="36"/>
      <c r="IN168" s="36"/>
      <c r="IO168" s="36"/>
      <c r="IP168" s="36"/>
      <c r="IQ168" s="36"/>
      <c r="IR168" s="36"/>
      <c r="IS168" s="36"/>
      <c r="IT168" s="36"/>
      <c r="IU168" s="36"/>
      <c r="IV168" s="36"/>
    </row>
    <row r="169" spans="1:256" s="35" customFormat="1" ht="15.75" hidden="1">
      <c r="A169" s="130"/>
      <c r="B169" s="131"/>
      <c r="C169" s="127" t="s">
        <v>290</v>
      </c>
      <c r="D169" s="137" t="e">
        <f>#REF!+#REF!</f>
        <v>#REF!</v>
      </c>
      <c r="E169" s="137" t="e">
        <f>#REF!+#REF!</f>
        <v>#REF!</v>
      </c>
      <c r="F169" s="137" t="e">
        <f>#REF!+#REF!</f>
        <v>#REF!</v>
      </c>
      <c r="G169" s="137" t="e">
        <f>#REF!+#REF!</f>
        <v>#REF!</v>
      </c>
      <c r="H169" s="137" t="e">
        <f>#REF!+#REF!</f>
        <v>#REF!</v>
      </c>
      <c r="I169" s="137"/>
      <c r="J169" s="137" t="e">
        <f>#REF!+#REF!</f>
        <v>#REF!</v>
      </c>
      <c r="FW169" s="36"/>
      <c r="FX169" s="36"/>
      <c r="FY169" s="36"/>
      <c r="FZ169" s="36"/>
      <c r="GA169" s="36"/>
      <c r="GB169" s="36"/>
      <c r="GC169" s="36"/>
      <c r="GD169" s="36"/>
      <c r="GE169" s="36"/>
      <c r="GF169" s="36"/>
      <c r="GG169" s="36"/>
      <c r="GH169" s="36"/>
      <c r="GI169" s="36"/>
      <c r="GJ169" s="36"/>
      <c r="GK169" s="36"/>
      <c r="GL169" s="36"/>
      <c r="GM169" s="36"/>
      <c r="GN169" s="36"/>
      <c r="GO169" s="36"/>
      <c r="GP169" s="36"/>
      <c r="GQ169" s="36"/>
      <c r="GR169" s="36"/>
      <c r="GS169" s="36"/>
      <c r="GT169" s="36"/>
      <c r="GU169" s="36"/>
      <c r="GV169" s="36"/>
      <c r="GW169" s="36"/>
      <c r="GX169" s="36"/>
      <c r="GY169" s="36"/>
      <c r="GZ169" s="36"/>
      <c r="HA169" s="36"/>
      <c r="HB169" s="36"/>
      <c r="HC169" s="36"/>
      <c r="HD169" s="36"/>
      <c r="HE169" s="36"/>
      <c r="HF169" s="36"/>
      <c r="HG169" s="36"/>
      <c r="HH169" s="36"/>
      <c r="HI169" s="36"/>
      <c r="HJ169" s="36"/>
      <c r="HK169" s="36"/>
      <c r="HL169" s="36"/>
      <c r="HM169" s="36"/>
      <c r="HN169" s="36"/>
      <c r="HO169" s="36"/>
      <c r="HP169" s="36"/>
      <c r="HQ169" s="36"/>
      <c r="HR169" s="36"/>
      <c r="HS169" s="36"/>
      <c r="HT169" s="36"/>
      <c r="HU169" s="36"/>
      <c r="HV169" s="36"/>
      <c r="HW169" s="36"/>
      <c r="HX169" s="36"/>
      <c r="HY169" s="36"/>
      <c r="HZ169" s="36"/>
      <c r="IA169" s="36"/>
      <c r="IB169" s="36"/>
      <c r="IC169" s="36"/>
      <c r="ID169" s="36"/>
      <c r="IE169" s="36"/>
      <c r="IF169" s="36"/>
      <c r="IG169" s="36"/>
      <c r="IH169" s="36"/>
      <c r="II169" s="36"/>
      <c r="IJ169" s="36"/>
      <c r="IK169" s="36"/>
      <c r="IL169" s="36"/>
      <c r="IM169" s="36"/>
      <c r="IN169" s="36"/>
      <c r="IO169" s="36"/>
      <c r="IP169" s="36"/>
      <c r="IQ169" s="36"/>
      <c r="IR169" s="36"/>
      <c r="IS169" s="36"/>
      <c r="IT169" s="36"/>
      <c r="IU169" s="36"/>
      <c r="IV169" s="36"/>
    </row>
    <row r="170" spans="1:256" s="35" customFormat="1" ht="15.75" hidden="1">
      <c r="A170" s="130"/>
      <c r="B170" s="131"/>
      <c r="C170" s="127" t="s">
        <v>291</v>
      </c>
      <c r="D170" s="137">
        <f>D138+D143</f>
        <v>4916608.65</v>
      </c>
      <c r="E170" s="137">
        <f>E138+E143</f>
        <v>13362006.01</v>
      </c>
      <c r="F170" s="137">
        <f>F138+F143</f>
        <v>19731726.61</v>
      </c>
      <c r="G170" s="137">
        <f>G138+G143</f>
        <v>12428905.57142857</v>
      </c>
      <c r="H170" s="137">
        <f>H138+H143</f>
        <v>25138179.628403146</v>
      </c>
      <c r="I170" s="137"/>
      <c r="J170" s="137">
        <f>J138+J143</f>
        <v>33468229.813404933</v>
      </c>
      <c r="FW170" s="36"/>
      <c r="FX170" s="36"/>
      <c r="FY170" s="36"/>
      <c r="FZ170" s="36"/>
      <c r="GA170" s="36"/>
      <c r="GB170" s="36"/>
      <c r="GC170" s="36"/>
      <c r="GD170" s="36"/>
      <c r="GE170" s="36"/>
      <c r="GF170" s="36"/>
      <c r="GG170" s="36"/>
      <c r="GH170" s="36"/>
      <c r="GI170" s="36"/>
      <c r="GJ170" s="36"/>
      <c r="GK170" s="36"/>
      <c r="GL170" s="36"/>
      <c r="GM170" s="36"/>
      <c r="GN170" s="36"/>
      <c r="GO170" s="36"/>
      <c r="GP170" s="36"/>
      <c r="GQ170" s="36"/>
      <c r="GR170" s="36"/>
      <c r="GS170" s="36"/>
      <c r="GT170" s="36"/>
      <c r="GU170" s="36"/>
      <c r="GV170" s="36"/>
      <c r="GW170" s="36"/>
      <c r="GX170" s="36"/>
      <c r="GY170" s="36"/>
      <c r="GZ170" s="36"/>
      <c r="HA170" s="36"/>
      <c r="HB170" s="36"/>
      <c r="HC170" s="36"/>
      <c r="HD170" s="36"/>
      <c r="HE170" s="36"/>
      <c r="HF170" s="36"/>
      <c r="HG170" s="36"/>
      <c r="HH170" s="36"/>
      <c r="HI170" s="36"/>
      <c r="HJ170" s="36"/>
      <c r="HK170" s="36"/>
      <c r="HL170" s="36"/>
      <c r="HM170" s="36"/>
      <c r="HN170" s="36"/>
      <c r="HO170" s="36"/>
      <c r="HP170" s="36"/>
      <c r="HQ170" s="36"/>
      <c r="HR170" s="36"/>
      <c r="HS170" s="36"/>
      <c r="HT170" s="36"/>
      <c r="HU170" s="36"/>
      <c r="HV170" s="36"/>
      <c r="HW170" s="36"/>
      <c r="HX170" s="36"/>
      <c r="HY170" s="36"/>
      <c r="HZ170" s="36"/>
      <c r="IA170" s="36"/>
      <c r="IB170" s="36"/>
      <c r="IC170" s="36"/>
      <c r="ID170" s="36"/>
      <c r="IE170" s="36"/>
      <c r="IF170" s="36"/>
      <c r="IG170" s="36"/>
      <c r="IH170" s="36"/>
      <c r="II170" s="36"/>
      <c r="IJ170" s="36"/>
      <c r="IK170" s="36"/>
      <c r="IL170" s="36"/>
      <c r="IM170" s="36"/>
      <c r="IN170" s="36"/>
      <c r="IO170" s="36"/>
      <c r="IP170" s="36"/>
      <c r="IQ170" s="36"/>
      <c r="IR170" s="36"/>
      <c r="IS170" s="36"/>
      <c r="IT170" s="36"/>
      <c r="IU170" s="36"/>
      <c r="IV170" s="36"/>
    </row>
    <row r="171" spans="1:256" s="35" customFormat="1" ht="15.75" hidden="1">
      <c r="A171" s="130"/>
      <c r="B171" s="131"/>
      <c r="C171" s="127" t="s">
        <v>292</v>
      </c>
      <c r="D171" s="137" t="e">
        <f>#REF!</f>
        <v>#REF!</v>
      </c>
      <c r="E171" s="137" t="e">
        <f>#REF!</f>
        <v>#REF!</v>
      </c>
      <c r="F171" s="137" t="e">
        <f>#REF!</f>
        <v>#REF!</v>
      </c>
      <c r="G171" s="137" t="e">
        <f>#REF!</f>
        <v>#REF!</v>
      </c>
      <c r="H171" s="137" t="e">
        <f>#REF!</f>
        <v>#REF!</v>
      </c>
      <c r="I171" s="137"/>
      <c r="J171" s="137" t="e">
        <f>#REF!</f>
        <v>#REF!</v>
      </c>
      <c r="FW171" s="36"/>
      <c r="FX171" s="36"/>
      <c r="FY171" s="36"/>
      <c r="FZ171" s="36"/>
      <c r="GA171" s="36"/>
      <c r="GB171" s="36"/>
      <c r="GC171" s="36"/>
      <c r="GD171" s="36"/>
      <c r="GE171" s="36"/>
      <c r="GF171" s="36"/>
      <c r="GG171" s="36"/>
      <c r="GH171" s="36"/>
      <c r="GI171" s="36"/>
      <c r="GJ171" s="36"/>
      <c r="GK171" s="36"/>
      <c r="GL171" s="36"/>
      <c r="GM171" s="36"/>
      <c r="GN171" s="36"/>
      <c r="GO171" s="36"/>
      <c r="GP171" s="36"/>
      <c r="GQ171" s="36"/>
      <c r="GR171" s="36"/>
      <c r="GS171" s="36"/>
      <c r="GT171" s="36"/>
      <c r="GU171" s="36"/>
      <c r="GV171" s="36"/>
      <c r="GW171" s="36"/>
      <c r="GX171" s="36"/>
      <c r="GY171" s="36"/>
      <c r="GZ171" s="36"/>
      <c r="HA171" s="36"/>
      <c r="HB171" s="36"/>
      <c r="HC171" s="36"/>
      <c r="HD171" s="36"/>
      <c r="HE171" s="36"/>
      <c r="HF171" s="36"/>
      <c r="HG171" s="36"/>
      <c r="HH171" s="36"/>
      <c r="HI171" s="36"/>
      <c r="HJ171" s="36"/>
      <c r="HK171" s="36"/>
      <c r="HL171" s="36"/>
      <c r="HM171" s="36"/>
      <c r="HN171" s="36"/>
      <c r="HO171" s="36"/>
      <c r="HP171" s="36"/>
      <c r="HQ171" s="36"/>
      <c r="HR171" s="36"/>
      <c r="HS171" s="36"/>
      <c r="HT171" s="36"/>
      <c r="HU171" s="36"/>
      <c r="HV171" s="36"/>
      <c r="HW171" s="36"/>
      <c r="HX171" s="36"/>
      <c r="HY171" s="36"/>
      <c r="HZ171" s="36"/>
      <c r="IA171" s="36"/>
      <c r="IB171" s="36"/>
      <c r="IC171" s="36"/>
      <c r="ID171" s="36"/>
      <c r="IE171" s="36"/>
      <c r="IF171" s="36"/>
      <c r="IG171" s="36"/>
      <c r="IH171" s="36"/>
      <c r="II171" s="36"/>
      <c r="IJ171" s="36"/>
      <c r="IK171" s="36"/>
      <c r="IL171" s="36"/>
      <c r="IM171" s="36"/>
      <c r="IN171" s="36"/>
      <c r="IO171" s="36"/>
      <c r="IP171" s="36"/>
      <c r="IQ171" s="36"/>
      <c r="IR171" s="36"/>
      <c r="IS171" s="36"/>
      <c r="IT171" s="36"/>
      <c r="IU171" s="36"/>
      <c r="IV171" s="36"/>
    </row>
    <row r="172" spans="1:256" s="35" customFormat="1" ht="15.75" hidden="1">
      <c r="A172" s="130"/>
      <c r="B172" s="131"/>
      <c r="C172" s="127" t="s">
        <v>293</v>
      </c>
      <c r="D172" s="137" t="e">
        <f>D132+#REF!+#REF!+#REF!+#REF!+#REF!+#REF!</f>
        <v>#REF!</v>
      </c>
      <c r="E172" s="137" t="e">
        <f>E132+#REF!+#REF!+#REF!+#REF!+#REF!+#REF!</f>
        <v>#REF!</v>
      </c>
      <c r="F172" s="137" t="e">
        <f>F132+#REF!+#REF!+#REF!+#REF!+#REF!+#REF!</f>
        <v>#REF!</v>
      </c>
      <c r="G172" s="137" t="e">
        <f>G132+#REF!+#REF!+#REF!+#REF!+#REF!+#REF!</f>
        <v>#REF!</v>
      </c>
      <c r="H172" s="137" t="e">
        <f>H132+#REF!+#REF!+#REF!+#REF!+#REF!+#REF!</f>
        <v>#REF!</v>
      </c>
      <c r="I172" s="137"/>
      <c r="J172" s="137" t="e">
        <f>J132+#REF!+#REF!+#REF!+#REF!+#REF!+#REF!</f>
        <v>#REF!</v>
      </c>
      <c r="FW172" s="36"/>
      <c r="FX172" s="36"/>
      <c r="FY172" s="36"/>
      <c r="FZ172" s="36"/>
      <c r="GA172" s="36"/>
      <c r="GB172" s="36"/>
      <c r="GC172" s="36"/>
      <c r="GD172" s="36"/>
      <c r="GE172" s="36"/>
      <c r="GF172" s="36"/>
      <c r="GG172" s="36"/>
      <c r="GH172" s="36"/>
      <c r="GI172" s="36"/>
      <c r="GJ172" s="36"/>
      <c r="GK172" s="36"/>
      <c r="GL172" s="36"/>
      <c r="GM172" s="36"/>
      <c r="GN172" s="36"/>
      <c r="GO172" s="36"/>
      <c r="GP172" s="36"/>
      <c r="GQ172" s="36"/>
      <c r="GR172" s="36"/>
      <c r="GS172" s="36"/>
      <c r="GT172" s="36"/>
      <c r="GU172" s="36"/>
      <c r="GV172" s="36"/>
      <c r="GW172" s="36"/>
      <c r="GX172" s="36"/>
      <c r="GY172" s="36"/>
      <c r="GZ172" s="36"/>
      <c r="HA172" s="36"/>
      <c r="HB172" s="36"/>
      <c r="HC172" s="36"/>
      <c r="HD172" s="36"/>
      <c r="HE172" s="36"/>
      <c r="HF172" s="36"/>
      <c r="HG172" s="36"/>
      <c r="HH172" s="36"/>
      <c r="HI172" s="36"/>
      <c r="HJ172" s="36"/>
      <c r="HK172" s="36"/>
      <c r="HL172" s="36"/>
      <c r="HM172" s="36"/>
      <c r="HN172" s="36"/>
      <c r="HO172" s="36"/>
      <c r="HP172" s="36"/>
      <c r="HQ172" s="36"/>
      <c r="HR172" s="36"/>
      <c r="HS172" s="36"/>
      <c r="HT172" s="36"/>
      <c r="HU172" s="36"/>
      <c r="HV172" s="36"/>
      <c r="HW172" s="36"/>
      <c r="HX172" s="36"/>
      <c r="HY172" s="36"/>
      <c r="HZ172" s="36"/>
      <c r="IA172" s="36"/>
      <c r="IB172" s="36"/>
      <c r="IC172" s="36"/>
      <c r="ID172" s="36"/>
      <c r="IE172" s="36"/>
      <c r="IF172" s="36"/>
      <c r="IG172" s="36"/>
      <c r="IH172" s="36"/>
      <c r="II172" s="36"/>
      <c r="IJ172" s="36"/>
      <c r="IK172" s="36"/>
      <c r="IL172" s="36"/>
      <c r="IM172" s="36"/>
      <c r="IN172" s="36"/>
      <c r="IO172" s="36"/>
      <c r="IP172" s="36"/>
      <c r="IQ172" s="36"/>
      <c r="IR172" s="36"/>
      <c r="IS172" s="36"/>
      <c r="IT172" s="36"/>
      <c r="IU172" s="36"/>
      <c r="IV172" s="36"/>
    </row>
    <row r="173" spans="1:256" s="35" customFormat="1" ht="15.75" hidden="1">
      <c r="A173" s="130"/>
      <c r="B173" s="131"/>
      <c r="C173" s="127" t="s">
        <v>294</v>
      </c>
      <c r="D173" s="137" t="e">
        <f>#REF!</f>
        <v>#REF!</v>
      </c>
      <c r="E173" s="137" t="e">
        <f>#REF!</f>
        <v>#REF!</v>
      </c>
      <c r="F173" s="137" t="e">
        <f>#REF!</f>
        <v>#REF!</v>
      </c>
      <c r="G173" s="137" t="e">
        <f>#REF!</f>
        <v>#REF!</v>
      </c>
      <c r="H173" s="137" t="e">
        <f>#REF!</f>
        <v>#REF!</v>
      </c>
      <c r="I173" s="137"/>
      <c r="J173" s="137" t="e">
        <f>#REF!</f>
        <v>#REF!</v>
      </c>
      <c r="FW173" s="36"/>
      <c r="FX173" s="36"/>
      <c r="FY173" s="36"/>
      <c r="FZ173" s="36"/>
      <c r="GA173" s="36"/>
      <c r="GB173" s="36"/>
      <c r="GC173" s="36"/>
      <c r="GD173" s="36"/>
      <c r="GE173" s="36"/>
      <c r="GF173" s="36"/>
      <c r="GG173" s="36"/>
      <c r="GH173" s="36"/>
      <c r="GI173" s="36"/>
      <c r="GJ173" s="36"/>
      <c r="GK173" s="36"/>
      <c r="GL173" s="36"/>
      <c r="GM173" s="36"/>
      <c r="GN173" s="36"/>
      <c r="GO173" s="36"/>
      <c r="GP173" s="36"/>
      <c r="GQ173" s="36"/>
      <c r="GR173" s="36"/>
      <c r="GS173" s="36"/>
      <c r="GT173" s="36"/>
      <c r="GU173" s="36"/>
      <c r="GV173" s="36"/>
      <c r="GW173" s="36"/>
      <c r="GX173" s="36"/>
      <c r="GY173" s="36"/>
      <c r="GZ173" s="36"/>
      <c r="HA173" s="36"/>
      <c r="HB173" s="36"/>
      <c r="HC173" s="36"/>
      <c r="HD173" s="36"/>
      <c r="HE173" s="36"/>
      <c r="HF173" s="36"/>
      <c r="HG173" s="36"/>
      <c r="HH173" s="36"/>
      <c r="HI173" s="36"/>
      <c r="HJ173" s="36"/>
      <c r="HK173" s="36"/>
      <c r="HL173" s="36"/>
      <c r="HM173" s="36"/>
      <c r="HN173" s="36"/>
      <c r="HO173" s="36"/>
      <c r="HP173" s="36"/>
      <c r="HQ173" s="36"/>
      <c r="HR173" s="36"/>
      <c r="HS173" s="36"/>
      <c r="HT173" s="36"/>
      <c r="HU173" s="36"/>
      <c r="HV173" s="36"/>
      <c r="HW173" s="36"/>
      <c r="HX173" s="36"/>
      <c r="HY173" s="36"/>
      <c r="HZ173" s="36"/>
      <c r="IA173" s="36"/>
      <c r="IB173" s="36"/>
      <c r="IC173" s="36"/>
      <c r="ID173" s="36"/>
      <c r="IE173" s="36"/>
      <c r="IF173" s="36"/>
      <c r="IG173" s="36"/>
      <c r="IH173" s="36"/>
      <c r="II173" s="36"/>
      <c r="IJ173" s="36"/>
      <c r="IK173" s="36"/>
      <c r="IL173" s="36"/>
      <c r="IM173" s="36"/>
      <c r="IN173" s="36"/>
      <c r="IO173" s="36"/>
      <c r="IP173" s="36"/>
      <c r="IQ173" s="36"/>
      <c r="IR173" s="36"/>
      <c r="IS173" s="36"/>
      <c r="IT173" s="36"/>
      <c r="IU173" s="36"/>
      <c r="IV173" s="36"/>
    </row>
    <row r="174" spans="1:256" s="35" customFormat="1" ht="15.75" hidden="1">
      <c r="A174" s="130"/>
      <c r="B174" s="131"/>
      <c r="C174" s="127" t="s">
        <v>295</v>
      </c>
      <c r="D174" s="137" t="e">
        <f>#REF!+#REF!</f>
        <v>#REF!</v>
      </c>
      <c r="E174" s="137" t="e">
        <f>#REF!+#REF!</f>
        <v>#REF!</v>
      </c>
      <c r="F174" s="137" t="e">
        <f>#REF!+#REF!</f>
        <v>#REF!</v>
      </c>
      <c r="G174" s="137" t="e">
        <f>#REF!+#REF!</f>
        <v>#REF!</v>
      </c>
      <c r="H174" s="137" t="e">
        <f>#REF!+#REF!</f>
        <v>#REF!</v>
      </c>
      <c r="I174" s="137"/>
      <c r="J174" s="137" t="e">
        <f>#REF!+#REF!</f>
        <v>#REF!</v>
      </c>
      <c r="FW174" s="36"/>
      <c r="FX174" s="36"/>
      <c r="FY174" s="36"/>
      <c r="FZ174" s="36"/>
      <c r="GA174" s="36"/>
      <c r="GB174" s="36"/>
      <c r="GC174" s="36"/>
      <c r="GD174" s="36"/>
      <c r="GE174" s="36"/>
      <c r="GF174" s="36"/>
      <c r="GG174" s="36"/>
      <c r="GH174" s="36"/>
      <c r="GI174" s="36"/>
      <c r="GJ174" s="36"/>
      <c r="GK174" s="36"/>
      <c r="GL174" s="36"/>
      <c r="GM174" s="36"/>
      <c r="GN174" s="36"/>
      <c r="GO174" s="36"/>
      <c r="GP174" s="36"/>
      <c r="GQ174" s="36"/>
      <c r="GR174" s="36"/>
      <c r="GS174" s="36"/>
      <c r="GT174" s="36"/>
      <c r="GU174" s="36"/>
      <c r="GV174" s="36"/>
      <c r="GW174" s="36"/>
      <c r="GX174" s="36"/>
      <c r="GY174" s="36"/>
      <c r="GZ174" s="36"/>
      <c r="HA174" s="36"/>
      <c r="HB174" s="36"/>
      <c r="HC174" s="36"/>
      <c r="HD174" s="36"/>
      <c r="HE174" s="36"/>
      <c r="HF174" s="36"/>
      <c r="HG174" s="36"/>
      <c r="HH174" s="36"/>
      <c r="HI174" s="36"/>
      <c r="HJ174" s="36"/>
      <c r="HK174" s="36"/>
      <c r="HL174" s="36"/>
      <c r="HM174" s="36"/>
      <c r="HN174" s="36"/>
      <c r="HO174" s="36"/>
      <c r="HP174" s="36"/>
      <c r="HQ174" s="36"/>
      <c r="HR174" s="36"/>
      <c r="HS174" s="36"/>
      <c r="HT174" s="36"/>
      <c r="HU174" s="36"/>
      <c r="HV174" s="36"/>
      <c r="HW174" s="36"/>
      <c r="HX174" s="36"/>
      <c r="HY174" s="36"/>
      <c r="HZ174" s="36"/>
      <c r="IA174" s="36"/>
      <c r="IB174" s="36"/>
      <c r="IC174" s="36"/>
      <c r="ID174" s="36"/>
      <c r="IE174" s="36"/>
      <c r="IF174" s="36"/>
      <c r="IG174" s="36"/>
      <c r="IH174" s="36"/>
      <c r="II174" s="36"/>
      <c r="IJ174" s="36"/>
      <c r="IK174" s="36"/>
      <c r="IL174" s="36"/>
      <c r="IM174" s="36"/>
      <c r="IN174" s="36"/>
      <c r="IO174" s="36"/>
      <c r="IP174" s="36"/>
      <c r="IQ174" s="36"/>
      <c r="IR174" s="36"/>
      <c r="IS174" s="36"/>
      <c r="IT174" s="36"/>
      <c r="IU174" s="36"/>
      <c r="IV174" s="36"/>
    </row>
    <row r="175" spans="1:256" s="35" customFormat="1" ht="15.75" hidden="1">
      <c r="A175" s="130"/>
      <c r="B175" s="131"/>
      <c r="C175" s="127" t="s">
        <v>296</v>
      </c>
      <c r="D175" s="137" t="e">
        <f>#REF!+#REF!</f>
        <v>#REF!</v>
      </c>
      <c r="E175" s="137" t="e">
        <f>#REF!+#REF!</f>
        <v>#REF!</v>
      </c>
      <c r="F175" s="137" t="e">
        <f>#REF!+#REF!</f>
        <v>#REF!</v>
      </c>
      <c r="G175" s="137" t="e">
        <f>#REF!+#REF!</f>
        <v>#REF!</v>
      </c>
      <c r="H175" s="137" t="e">
        <f>#REF!+#REF!</f>
        <v>#REF!</v>
      </c>
      <c r="I175" s="137"/>
      <c r="J175" s="137" t="e">
        <f>#REF!+#REF!</f>
        <v>#REF!</v>
      </c>
      <c r="FW175" s="36"/>
      <c r="FX175" s="36"/>
      <c r="FY175" s="36"/>
      <c r="FZ175" s="36"/>
      <c r="GA175" s="36"/>
      <c r="GB175" s="36"/>
      <c r="GC175" s="36"/>
      <c r="GD175" s="36"/>
      <c r="GE175" s="36"/>
      <c r="GF175" s="36"/>
      <c r="GG175" s="36"/>
      <c r="GH175" s="36"/>
      <c r="GI175" s="36"/>
      <c r="GJ175" s="36"/>
      <c r="GK175" s="36"/>
      <c r="GL175" s="36"/>
      <c r="GM175" s="36"/>
      <c r="GN175" s="36"/>
      <c r="GO175" s="36"/>
      <c r="GP175" s="36"/>
      <c r="GQ175" s="36"/>
      <c r="GR175" s="36"/>
      <c r="GS175" s="36"/>
      <c r="GT175" s="36"/>
      <c r="GU175" s="36"/>
      <c r="GV175" s="36"/>
      <c r="GW175" s="36"/>
      <c r="GX175" s="36"/>
      <c r="GY175" s="36"/>
      <c r="GZ175" s="36"/>
      <c r="HA175" s="36"/>
      <c r="HB175" s="36"/>
      <c r="HC175" s="36"/>
      <c r="HD175" s="36"/>
      <c r="HE175" s="36"/>
      <c r="HF175" s="36"/>
      <c r="HG175" s="36"/>
      <c r="HH175" s="36"/>
      <c r="HI175" s="36"/>
      <c r="HJ175" s="36"/>
      <c r="HK175" s="36"/>
      <c r="HL175" s="36"/>
      <c r="HM175" s="36"/>
      <c r="HN175" s="36"/>
      <c r="HO175" s="36"/>
      <c r="HP175" s="36"/>
      <c r="HQ175" s="36"/>
      <c r="HR175" s="36"/>
      <c r="HS175" s="36"/>
      <c r="HT175" s="36"/>
      <c r="HU175" s="36"/>
      <c r="HV175" s="36"/>
      <c r="HW175" s="36"/>
      <c r="HX175" s="36"/>
      <c r="HY175" s="36"/>
      <c r="HZ175" s="36"/>
      <c r="IA175" s="36"/>
      <c r="IB175" s="36"/>
      <c r="IC175" s="36"/>
      <c r="ID175" s="36"/>
      <c r="IE175" s="36"/>
      <c r="IF175" s="36"/>
      <c r="IG175" s="36"/>
      <c r="IH175" s="36"/>
      <c r="II175" s="36"/>
      <c r="IJ175" s="36"/>
      <c r="IK175" s="36"/>
      <c r="IL175" s="36"/>
      <c r="IM175" s="36"/>
      <c r="IN175" s="36"/>
      <c r="IO175" s="36"/>
      <c r="IP175" s="36"/>
      <c r="IQ175" s="36"/>
      <c r="IR175" s="36"/>
      <c r="IS175" s="36"/>
      <c r="IT175" s="36"/>
      <c r="IU175" s="36"/>
      <c r="IV175" s="36"/>
    </row>
    <row r="176" spans="1:256" s="35" customFormat="1" ht="15.75" hidden="1">
      <c r="A176" s="130"/>
      <c r="B176" s="131"/>
      <c r="C176" s="127" t="s">
        <v>297</v>
      </c>
      <c r="D176" s="137" t="e">
        <f>D174+D175</f>
        <v>#REF!</v>
      </c>
      <c r="E176" s="137" t="e">
        <f>E174+E175</f>
        <v>#REF!</v>
      </c>
      <c r="F176" s="137" t="e">
        <f>F174+F175</f>
        <v>#REF!</v>
      </c>
      <c r="G176" s="137" t="e">
        <f>G174+G175</f>
        <v>#REF!</v>
      </c>
      <c r="H176" s="137" t="e">
        <f>H174+H175</f>
        <v>#REF!</v>
      </c>
      <c r="I176" s="137"/>
      <c r="J176" s="137" t="e">
        <f>J174+J175</f>
        <v>#REF!</v>
      </c>
      <c r="FW176" s="36"/>
      <c r="FX176" s="36"/>
      <c r="FY176" s="36"/>
      <c r="FZ176" s="36"/>
      <c r="GA176" s="36"/>
      <c r="GB176" s="36"/>
      <c r="GC176" s="36"/>
      <c r="GD176" s="36"/>
      <c r="GE176" s="36"/>
      <c r="GF176" s="36"/>
      <c r="GG176" s="36"/>
      <c r="GH176" s="36"/>
      <c r="GI176" s="36"/>
      <c r="GJ176" s="36"/>
      <c r="GK176" s="36"/>
      <c r="GL176" s="36"/>
      <c r="GM176" s="36"/>
      <c r="GN176" s="36"/>
      <c r="GO176" s="36"/>
      <c r="GP176" s="36"/>
      <c r="GQ176" s="36"/>
      <c r="GR176" s="36"/>
      <c r="GS176" s="36"/>
      <c r="GT176" s="36"/>
      <c r="GU176" s="36"/>
      <c r="GV176" s="36"/>
      <c r="GW176" s="36"/>
      <c r="GX176" s="36"/>
      <c r="GY176" s="36"/>
      <c r="GZ176" s="36"/>
      <c r="HA176" s="36"/>
      <c r="HB176" s="36"/>
      <c r="HC176" s="36"/>
      <c r="HD176" s="36"/>
      <c r="HE176" s="36"/>
      <c r="HF176" s="36"/>
      <c r="HG176" s="36"/>
      <c r="HH176" s="36"/>
      <c r="HI176" s="36"/>
      <c r="HJ176" s="36"/>
      <c r="HK176" s="36"/>
      <c r="HL176" s="36"/>
      <c r="HM176" s="36"/>
      <c r="HN176" s="36"/>
      <c r="HO176" s="36"/>
      <c r="HP176" s="36"/>
      <c r="HQ176" s="36"/>
      <c r="HR176" s="36"/>
      <c r="HS176" s="36"/>
      <c r="HT176" s="36"/>
      <c r="HU176" s="36"/>
      <c r="HV176" s="36"/>
      <c r="HW176" s="36"/>
      <c r="HX176" s="36"/>
      <c r="HY176" s="36"/>
      <c r="HZ176" s="36"/>
      <c r="IA176" s="36"/>
      <c r="IB176" s="36"/>
      <c r="IC176" s="36"/>
      <c r="ID176" s="36"/>
      <c r="IE176" s="36"/>
      <c r="IF176" s="36"/>
      <c r="IG176" s="36"/>
      <c r="IH176" s="36"/>
      <c r="II176" s="36"/>
      <c r="IJ176" s="36"/>
      <c r="IK176" s="36"/>
      <c r="IL176" s="36"/>
      <c r="IM176" s="36"/>
      <c r="IN176" s="36"/>
      <c r="IO176" s="36"/>
      <c r="IP176" s="36"/>
      <c r="IQ176" s="36"/>
      <c r="IR176" s="36"/>
      <c r="IS176" s="36"/>
      <c r="IT176" s="36"/>
      <c r="IU176" s="36"/>
      <c r="IV176" s="36"/>
    </row>
    <row r="177" spans="1:256" s="35" customFormat="1" ht="15.75" hidden="1">
      <c r="A177" s="130"/>
      <c r="B177" s="131"/>
      <c r="C177" s="127" t="s">
        <v>298</v>
      </c>
      <c r="D177" s="137" t="e">
        <f>((D8+#REF!)-(D161)-((#REF!+#REF!)-D176))</f>
        <v>#REF!</v>
      </c>
      <c r="E177" s="137" t="e">
        <f>((E8+#REF!)-(E161)-((#REF!+#REF!)-E176))</f>
        <v>#REF!</v>
      </c>
      <c r="F177" s="137" t="e">
        <f>((F8+#REF!)-(F161)-((#REF!+#REF!)-F176))</f>
        <v>#REF!</v>
      </c>
      <c r="G177" s="137" t="e">
        <f>((G8+#REF!)-(G161)-((#REF!+#REF!)-G176))</f>
        <v>#REF!</v>
      </c>
      <c r="H177" s="137" t="e">
        <f>((H8+#REF!)-(H161)-((#REF!+#REF!)-H176))</f>
        <v>#REF!</v>
      </c>
      <c r="I177" s="137"/>
      <c r="J177" s="137" t="e">
        <f>((J8+#REF!)-(J161)-((#REF!+#REF!)-J176))</f>
        <v>#REF!</v>
      </c>
      <c r="FW177" s="36"/>
      <c r="FX177" s="36"/>
      <c r="FY177" s="36"/>
      <c r="FZ177" s="36"/>
      <c r="GA177" s="36"/>
      <c r="GB177" s="36"/>
      <c r="GC177" s="36"/>
      <c r="GD177" s="36"/>
      <c r="GE177" s="36"/>
      <c r="GF177" s="36"/>
      <c r="GG177" s="36"/>
      <c r="GH177" s="36"/>
      <c r="GI177" s="36"/>
      <c r="GJ177" s="36"/>
      <c r="GK177" s="36"/>
      <c r="GL177" s="36"/>
      <c r="GM177" s="36"/>
      <c r="GN177" s="36"/>
      <c r="GO177" s="36"/>
      <c r="GP177" s="36"/>
      <c r="GQ177" s="36"/>
      <c r="GR177" s="36"/>
      <c r="GS177" s="36"/>
      <c r="GT177" s="36"/>
      <c r="GU177" s="36"/>
      <c r="GV177" s="36"/>
      <c r="GW177" s="36"/>
      <c r="GX177" s="36"/>
      <c r="GY177" s="36"/>
      <c r="GZ177" s="36"/>
      <c r="HA177" s="36"/>
      <c r="HB177" s="36"/>
      <c r="HC177" s="36"/>
      <c r="HD177" s="36"/>
      <c r="HE177" s="36"/>
      <c r="HF177" s="36"/>
      <c r="HG177" s="36"/>
      <c r="HH177" s="36"/>
      <c r="HI177" s="36"/>
      <c r="HJ177" s="36"/>
      <c r="HK177" s="36"/>
      <c r="HL177" s="36"/>
      <c r="HM177" s="36"/>
      <c r="HN177" s="36"/>
      <c r="HO177" s="36"/>
      <c r="HP177" s="36"/>
      <c r="HQ177" s="36"/>
      <c r="HR177" s="36"/>
      <c r="HS177" s="36"/>
      <c r="HT177" s="36"/>
      <c r="HU177" s="36"/>
      <c r="HV177" s="36"/>
      <c r="HW177" s="36"/>
      <c r="HX177" s="36"/>
      <c r="HY177" s="36"/>
      <c r="HZ177" s="36"/>
      <c r="IA177" s="36"/>
      <c r="IB177" s="36"/>
      <c r="IC177" s="36"/>
      <c r="ID177" s="36"/>
      <c r="IE177" s="36"/>
      <c r="IF177" s="36"/>
      <c r="IG177" s="36"/>
      <c r="IH177" s="36"/>
      <c r="II177" s="36"/>
      <c r="IJ177" s="36"/>
      <c r="IK177" s="36"/>
      <c r="IL177" s="36"/>
      <c r="IM177" s="36"/>
      <c r="IN177" s="36"/>
      <c r="IO177" s="36"/>
      <c r="IP177" s="36"/>
      <c r="IQ177" s="36"/>
      <c r="IR177" s="36"/>
      <c r="IS177" s="36"/>
      <c r="IT177" s="36"/>
      <c r="IU177" s="36"/>
      <c r="IV177" s="36"/>
    </row>
    <row r="178" spans="1:256" s="35" customFormat="1" ht="15.75" hidden="1">
      <c r="A178" s="130"/>
      <c r="B178" s="131"/>
      <c r="C178" s="138" t="s">
        <v>299</v>
      </c>
      <c r="D178" s="139" t="e">
        <f>-(D177-(D174-D18-D19-D20-#REF!))</f>
        <v>#REF!</v>
      </c>
      <c r="E178" s="139" t="e">
        <f>-(E177-(E174-E18-E19-E20-#REF!))</f>
        <v>#REF!</v>
      </c>
      <c r="F178" s="139" t="e">
        <f>-(F177-(F174-F18-F19-F20-#REF!))</f>
        <v>#REF!</v>
      </c>
      <c r="G178" s="139" t="e">
        <f>-(G177-(G174-G18-G19-G20-#REF!))</f>
        <v>#REF!</v>
      </c>
      <c r="H178" s="139" t="e">
        <f>-(H177-(H174-H18-H19-H20-#REF!))</f>
        <v>#REF!</v>
      </c>
      <c r="I178" s="139"/>
      <c r="J178" s="139" t="e">
        <f>-(J177-(J174-J18-J19-J20-#REF!))</f>
        <v>#REF!</v>
      </c>
      <c r="FW178" s="36"/>
      <c r="FX178" s="36"/>
      <c r="FY178" s="36"/>
      <c r="FZ178" s="36"/>
      <c r="GA178" s="36"/>
      <c r="GB178" s="36"/>
      <c r="GC178" s="36"/>
      <c r="GD178" s="36"/>
      <c r="GE178" s="36"/>
      <c r="GF178" s="36"/>
      <c r="GG178" s="36"/>
      <c r="GH178" s="36"/>
      <c r="GI178" s="36"/>
      <c r="GJ178" s="36"/>
      <c r="GK178" s="36"/>
      <c r="GL178" s="36"/>
      <c r="GM178" s="36"/>
      <c r="GN178" s="36"/>
      <c r="GO178" s="36"/>
      <c r="GP178" s="36"/>
      <c r="GQ178" s="36"/>
      <c r="GR178" s="36"/>
      <c r="GS178" s="36"/>
      <c r="GT178" s="36"/>
      <c r="GU178" s="36"/>
      <c r="GV178" s="36"/>
      <c r="GW178" s="36"/>
      <c r="GX178" s="36"/>
      <c r="GY178" s="36"/>
      <c r="GZ178" s="36"/>
      <c r="HA178" s="36"/>
      <c r="HB178" s="36"/>
      <c r="HC178" s="36"/>
      <c r="HD178" s="36"/>
      <c r="HE178" s="36"/>
      <c r="HF178" s="36"/>
      <c r="HG178" s="36"/>
      <c r="HH178" s="36"/>
      <c r="HI178" s="36"/>
      <c r="HJ178" s="36"/>
      <c r="HK178" s="36"/>
      <c r="HL178" s="36"/>
      <c r="HM178" s="36"/>
      <c r="HN178" s="36"/>
      <c r="HO178" s="36"/>
      <c r="HP178" s="36"/>
      <c r="HQ178" s="36"/>
      <c r="HR178" s="36"/>
      <c r="HS178" s="36"/>
      <c r="HT178" s="36"/>
      <c r="HU178" s="36"/>
      <c r="HV178" s="36"/>
      <c r="HW178" s="36"/>
      <c r="HX178" s="36"/>
      <c r="HY178" s="36"/>
      <c r="HZ178" s="36"/>
      <c r="IA178" s="36"/>
      <c r="IB178" s="36"/>
      <c r="IC178" s="36"/>
      <c r="ID178" s="36"/>
      <c r="IE178" s="36"/>
      <c r="IF178" s="36"/>
      <c r="IG178" s="36"/>
      <c r="IH178" s="36"/>
      <c r="II178" s="36"/>
      <c r="IJ178" s="36"/>
      <c r="IK178" s="36"/>
      <c r="IL178" s="36"/>
      <c r="IM178" s="36"/>
      <c r="IN178" s="36"/>
      <c r="IO178" s="36"/>
      <c r="IP178" s="36"/>
      <c r="IQ178" s="36"/>
      <c r="IR178" s="36"/>
      <c r="IS178" s="36"/>
      <c r="IT178" s="36"/>
      <c r="IU178" s="36"/>
      <c r="IV178" s="36"/>
    </row>
    <row r="179" spans="1:256" s="35" customFormat="1" ht="15.75">
      <c r="A179" s="130"/>
      <c r="B179" s="131"/>
      <c r="C179" s="140"/>
      <c r="D179" s="140"/>
      <c r="E179" s="140"/>
      <c r="F179" s="140"/>
      <c r="G179" s="140"/>
      <c r="H179" s="140"/>
      <c r="I179" s="140"/>
      <c r="J179" s="140"/>
      <c r="FW179" s="36"/>
      <c r="FX179" s="36"/>
      <c r="FY179" s="36"/>
      <c r="FZ179" s="36"/>
      <c r="GA179" s="36"/>
      <c r="GB179" s="36"/>
      <c r="GC179" s="36"/>
      <c r="GD179" s="36"/>
      <c r="GE179" s="36"/>
      <c r="GF179" s="36"/>
      <c r="GG179" s="36"/>
      <c r="GH179" s="36"/>
      <c r="GI179" s="36"/>
      <c r="GJ179" s="36"/>
      <c r="GK179" s="36"/>
      <c r="GL179" s="36"/>
      <c r="GM179" s="36"/>
      <c r="GN179" s="36"/>
      <c r="GO179" s="36"/>
      <c r="GP179" s="36"/>
      <c r="GQ179" s="36"/>
      <c r="GR179" s="36"/>
      <c r="GS179" s="36"/>
      <c r="GT179" s="36"/>
      <c r="GU179" s="36"/>
      <c r="GV179" s="36"/>
      <c r="GW179" s="36"/>
      <c r="GX179" s="36"/>
      <c r="GY179" s="36"/>
      <c r="GZ179" s="36"/>
      <c r="HA179" s="36"/>
      <c r="HB179" s="36"/>
      <c r="HC179" s="36"/>
      <c r="HD179" s="36"/>
      <c r="HE179" s="36"/>
      <c r="HF179" s="36"/>
      <c r="HG179" s="36"/>
      <c r="HH179" s="36"/>
      <c r="HI179" s="36"/>
      <c r="HJ179" s="36"/>
      <c r="HK179" s="36"/>
      <c r="HL179" s="36"/>
      <c r="HM179" s="36"/>
      <c r="HN179" s="36"/>
      <c r="HO179" s="36"/>
      <c r="HP179" s="36"/>
      <c r="HQ179" s="36"/>
      <c r="HR179" s="36"/>
      <c r="HS179" s="36"/>
      <c r="HT179" s="36"/>
      <c r="HU179" s="36"/>
      <c r="HV179" s="36"/>
      <c r="HW179" s="36"/>
      <c r="HX179" s="36"/>
      <c r="HY179" s="36"/>
      <c r="HZ179" s="36"/>
      <c r="IA179" s="36"/>
      <c r="IB179" s="36"/>
      <c r="IC179" s="36"/>
      <c r="ID179" s="36"/>
      <c r="IE179" s="36"/>
      <c r="IF179" s="36"/>
      <c r="IG179" s="36"/>
      <c r="IH179" s="36"/>
      <c r="II179" s="36"/>
      <c r="IJ179" s="36"/>
      <c r="IK179" s="36"/>
      <c r="IL179" s="36"/>
      <c r="IM179" s="36"/>
      <c r="IN179" s="36"/>
      <c r="IO179" s="36"/>
      <c r="IP179" s="36"/>
      <c r="IQ179" s="36"/>
      <c r="IR179" s="36"/>
      <c r="IS179" s="36"/>
      <c r="IT179" s="36"/>
      <c r="IU179" s="36"/>
      <c r="IV179" s="36"/>
    </row>
    <row r="180" spans="1:256" s="35" customFormat="1" ht="38.25" customHeight="1">
      <c r="A180" s="553" t="s">
        <v>300</v>
      </c>
      <c r="B180" s="553"/>
      <c r="C180" s="553"/>
      <c r="D180" s="553"/>
      <c r="E180" s="553"/>
      <c r="F180" s="553"/>
      <c r="G180" s="553"/>
      <c r="H180" s="553"/>
      <c r="I180" s="553"/>
      <c r="J180" s="22"/>
      <c r="FW180" s="36"/>
      <c r="FX180" s="36"/>
      <c r="FY180" s="36"/>
      <c r="FZ180" s="36"/>
      <c r="GA180" s="36"/>
      <c r="GB180" s="36"/>
      <c r="GC180" s="36"/>
      <c r="GD180" s="36"/>
      <c r="GE180" s="36"/>
      <c r="GF180" s="36"/>
      <c r="GG180" s="36"/>
      <c r="GH180" s="36"/>
      <c r="GI180" s="36"/>
      <c r="GJ180" s="36"/>
      <c r="GK180" s="36"/>
      <c r="GL180" s="36"/>
      <c r="GM180" s="36"/>
      <c r="GN180" s="36"/>
      <c r="GO180" s="36"/>
      <c r="GP180" s="36"/>
      <c r="GQ180" s="36"/>
      <c r="GR180" s="36"/>
      <c r="GS180" s="36"/>
      <c r="GT180" s="36"/>
      <c r="GU180" s="36"/>
      <c r="GV180" s="36"/>
      <c r="GW180" s="36"/>
      <c r="GX180" s="36"/>
      <c r="GY180" s="36"/>
      <c r="GZ180" s="36"/>
      <c r="HA180" s="36"/>
      <c r="HB180" s="36"/>
      <c r="HC180" s="36"/>
      <c r="HD180" s="36"/>
      <c r="HE180" s="36"/>
      <c r="HF180" s="36"/>
      <c r="HG180" s="36"/>
      <c r="HH180" s="36"/>
      <c r="HI180" s="36"/>
      <c r="HJ180" s="36"/>
      <c r="HK180" s="36"/>
      <c r="HL180" s="36"/>
      <c r="HM180" s="36"/>
      <c r="HN180" s="36"/>
      <c r="HO180" s="36"/>
      <c r="HP180" s="36"/>
      <c r="HQ180" s="36"/>
      <c r="HR180" s="36"/>
      <c r="HS180" s="36"/>
      <c r="HT180" s="36"/>
      <c r="HU180" s="36"/>
      <c r="HV180" s="36"/>
      <c r="HW180" s="36"/>
      <c r="HX180" s="36"/>
      <c r="HY180" s="36"/>
      <c r="HZ180" s="36"/>
      <c r="IA180" s="36"/>
      <c r="IB180" s="36"/>
      <c r="IC180" s="36"/>
      <c r="ID180" s="36"/>
      <c r="IE180" s="36"/>
      <c r="IF180" s="36"/>
      <c r="IG180" s="36"/>
      <c r="IH180" s="36"/>
      <c r="II180" s="36"/>
      <c r="IJ180" s="36"/>
      <c r="IK180" s="36"/>
      <c r="IL180" s="36"/>
      <c r="IM180" s="36"/>
      <c r="IN180" s="36"/>
      <c r="IO180" s="36"/>
      <c r="IP180" s="36"/>
      <c r="IQ180" s="36"/>
      <c r="IR180" s="36"/>
      <c r="IS180" s="36"/>
      <c r="IT180" s="36"/>
      <c r="IU180" s="36"/>
      <c r="IV180" s="36"/>
    </row>
    <row r="181" spans="1:256" s="35" customFormat="1" ht="15.75">
      <c r="A181" s="103" t="s">
        <v>301</v>
      </c>
      <c r="B181" s="141"/>
      <c r="C181" s="142"/>
      <c r="D181" s="142"/>
      <c r="E181" s="142"/>
      <c r="F181" s="142"/>
      <c r="G181" s="142"/>
      <c r="H181" s="142"/>
      <c r="I181" s="142"/>
      <c r="J181" s="142"/>
      <c r="FW181" s="36"/>
      <c r="FX181" s="36"/>
      <c r="FY181" s="36"/>
      <c r="FZ181" s="36"/>
      <c r="GA181" s="36"/>
      <c r="GB181" s="36"/>
      <c r="GC181" s="36"/>
      <c r="GD181" s="36"/>
      <c r="GE181" s="36"/>
      <c r="GF181" s="36"/>
      <c r="GG181" s="36"/>
      <c r="GH181" s="36"/>
      <c r="GI181" s="36"/>
      <c r="GJ181" s="36"/>
      <c r="GK181" s="36"/>
      <c r="GL181" s="36"/>
      <c r="GM181" s="36"/>
      <c r="GN181" s="36"/>
      <c r="GO181" s="36"/>
      <c r="GP181" s="36"/>
      <c r="GQ181" s="36"/>
      <c r="GR181" s="36"/>
      <c r="GS181" s="36"/>
      <c r="GT181" s="36"/>
      <c r="GU181" s="36"/>
      <c r="GV181" s="36"/>
      <c r="GW181" s="36"/>
      <c r="GX181" s="36"/>
      <c r="GY181" s="36"/>
      <c r="GZ181" s="36"/>
      <c r="HA181" s="36"/>
      <c r="HB181" s="36"/>
      <c r="HC181" s="36"/>
      <c r="HD181" s="36"/>
      <c r="HE181" s="36"/>
      <c r="HF181" s="36"/>
      <c r="HG181" s="36"/>
      <c r="HH181" s="36"/>
      <c r="HI181" s="36"/>
      <c r="HJ181" s="36"/>
      <c r="HK181" s="36"/>
      <c r="HL181" s="36"/>
      <c r="HM181" s="36"/>
      <c r="HN181" s="36"/>
      <c r="HO181" s="36"/>
      <c r="HP181" s="36"/>
      <c r="HQ181" s="36"/>
      <c r="HR181" s="36"/>
      <c r="HS181" s="36"/>
      <c r="HT181" s="36"/>
      <c r="HU181" s="36"/>
      <c r="HV181" s="36"/>
      <c r="HW181" s="36"/>
      <c r="HX181" s="36"/>
      <c r="HY181" s="36"/>
      <c r="HZ181" s="36"/>
      <c r="IA181" s="36"/>
      <c r="IB181" s="36"/>
      <c r="IC181" s="36"/>
      <c r="ID181" s="36"/>
      <c r="IE181" s="36"/>
      <c r="IF181" s="36"/>
      <c r="IG181" s="36"/>
      <c r="IH181" s="36"/>
      <c r="II181" s="36"/>
      <c r="IJ181" s="36"/>
      <c r="IK181" s="36"/>
      <c r="IL181" s="36"/>
      <c r="IM181" s="36"/>
      <c r="IN181" s="36"/>
      <c r="IO181" s="36"/>
      <c r="IP181" s="36"/>
      <c r="IQ181" s="36"/>
      <c r="IR181" s="36"/>
      <c r="IS181" s="36"/>
      <c r="IT181" s="36"/>
      <c r="IU181" s="36"/>
      <c r="IV181" s="36"/>
    </row>
    <row r="182" spans="1:256" s="35" customFormat="1" ht="15.75">
      <c r="A182" s="143" t="s">
        <v>302</v>
      </c>
      <c r="B182" s="141"/>
      <c r="C182" s="142"/>
      <c r="D182" s="142"/>
      <c r="E182" s="142"/>
      <c r="F182" s="142"/>
      <c r="G182" s="142"/>
      <c r="H182" s="142"/>
      <c r="I182" s="142"/>
      <c r="J182" s="142"/>
      <c r="FW182" s="36"/>
      <c r="FX182" s="36"/>
      <c r="FY182" s="36"/>
      <c r="FZ182" s="36"/>
      <c r="GA182" s="36"/>
      <c r="GB182" s="36"/>
      <c r="GC182" s="36"/>
      <c r="GD182" s="36"/>
      <c r="GE182" s="36"/>
      <c r="GF182" s="36"/>
      <c r="GG182" s="36"/>
      <c r="GH182" s="36"/>
      <c r="GI182" s="36"/>
      <c r="GJ182" s="36"/>
      <c r="GK182" s="36"/>
      <c r="GL182" s="36"/>
      <c r="GM182" s="36"/>
      <c r="GN182" s="36"/>
      <c r="GO182" s="36"/>
      <c r="GP182" s="36"/>
      <c r="GQ182" s="36"/>
      <c r="GR182" s="36"/>
      <c r="GS182" s="36"/>
      <c r="GT182" s="36"/>
      <c r="GU182" s="36"/>
      <c r="GV182" s="36"/>
      <c r="GW182" s="36"/>
      <c r="GX182" s="36"/>
      <c r="GY182" s="36"/>
      <c r="GZ182" s="36"/>
      <c r="HA182" s="36"/>
      <c r="HB182" s="36"/>
      <c r="HC182" s="36"/>
      <c r="HD182" s="36"/>
      <c r="HE182" s="36"/>
      <c r="HF182" s="36"/>
      <c r="HG182" s="36"/>
      <c r="HH182" s="36"/>
      <c r="HI182" s="36"/>
      <c r="HJ182" s="36"/>
      <c r="HK182" s="36"/>
      <c r="HL182" s="36"/>
      <c r="HM182" s="36"/>
      <c r="HN182" s="36"/>
      <c r="HO182" s="36"/>
      <c r="HP182" s="36"/>
      <c r="HQ182" s="36"/>
      <c r="HR182" s="36"/>
      <c r="HS182" s="36"/>
      <c r="HT182" s="36"/>
      <c r="HU182" s="36"/>
      <c r="HV182" s="36"/>
      <c r="HW182" s="36"/>
      <c r="HX182" s="36"/>
      <c r="HY182" s="36"/>
      <c r="HZ182" s="36"/>
      <c r="IA182" s="36"/>
      <c r="IB182" s="36"/>
      <c r="IC182" s="36"/>
      <c r="ID182" s="36"/>
      <c r="IE182" s="36"/>
      <c r="IF182" s="36"/>
      <c r="IG182" s="36"/>
      <c r="IH182" s="36"/>
      <c r="II182" s="36"/>
      <c r="IJ182" s="36"/>
      <c r="IK182" s="36"/>
      <c r="IL182" s="36"/>
      <c r="IM182" s="36"/>
      <c r="IN182" s="36"/>
      <c r="IO182" s="36"/>
      <c r="IP182" s="36"/>
      <c r="IQ182" s="36"/>
      <c r="IR182" s="36"/>
      <c r="IS182" s="36"/>
      <c r="IT182" s="36"/>
      <c r="IU182" s="36"/>
      <c r="IV182" s="36"/>
    </row>
    <row r="183" spans="1:256" s="35" customFormat="1" ht="15.75">
      <c r="A183" s="36"/>
      <c r="B183" s="141"/>
      <c r="C183" s="142"/>
      <c r="D183" s="142"/>
      <c r="E183" s="142"/>
      <c r="F183" s="142"/>
      <c r="G183" s="142"/>
      <c r="H183" s="142"/>
      <c r="I183" s="142"/>
      <c r="J183" s="142"/>
      <c r="FW183" s="36"/>
      <c r="FX183" s="36"/>
      <c r="FY183" s="36"/>
      <c r="FZ183" s="36"/>
      <c r="GA183" s="36"/>
      <c r="GB183" s="36"/>
      <c r="GC183" s="36"/>
      <c r="GD183" s="36"/>
      <c r="GE183" s="36"/>
      <c r="GF183" s="36"/>
      <c r="GG183" s="36"/>
      <c r="GH183" s="36"/>
      <c r="GI183" s="36"/>
      <c r="GJ183" s="36"/>
      <c r="GK183" s="36"/>
      <c r="GL183" s="36"/>
      <c r="GM183" s="36"/>
      <c r="GN183" s="36"/>
      <c r="GO183" s="36"/>
      <c r="GP183" s="36"/>
      <c r="GQ183" s="36"/>
      <c r="GR183" s="36"/>
      <c r="GS183" s="36"/>
      <c r="GT183" s="36"/>
      <c r="GU183" s="36"/>
      <c r="GV183" s="36"/>
      <c r="GW183" s="36"/>
      <c r="GX183" s="36"/>
      <c r="GY183" s="36"/>
      <c r="GZ183" s="36"/>
      <c r="HA183" s="36"/>
      <c r="HB183" s="36"/>
      <c r="HC183" s="36"/>
      <c r="HD183" s="36"/>
      <c r="HE183" s="36"/>
      <c r="HF183" s="36"/>
      <c r="HG183" s="36"/>
      <c r="HH183" s="36"/>
      <c r="HI183" s="36"/>
      <c r="HJ183" s="36"/>
      <c r="HK183" s="36"/>
      <c r="HL183" s="36"/>
      <c r="HM183" s="36"/>
      <c r="HN183" s="36"/>
      <c r="HO183" s="36"/>
      <c r="HP183" s="36"/>
      <c r="HQ183" s="36"/>
      <c r="HR183" s="36"/>
      <c r="HS183" s="36"/>
      <c r="HT183" s="36"/>
      <c r="HU183" s="36"/>
      <c r="HV183" s="36"/>
      <c r="HW183" s="36"/>
      <c r="HX183" s="36"/>
      <c r="HY183" s="36"/>
      <c r="HZ183" s="36"/>
      <c r="IA183" s="36"/>
      <c r="IB183" s="36"/>
      <c r="IC183" s="36"/>
      <c r="ID183" s="36"/>
      <c r="IE183" s="36"/>
      <c r="IF183" s="36"/>
      <c r="IG183" s="36"/>
      <c r="IH183" s="36"/>
      <c r="II183" s="36"/>
      <c r="IJ183" s="36"/>
      <c r="IK183" s="36"/>
      <c r="IL183" s="36"/>
      <c r="IM183" s="36"/>
      <c r="IN183" s="36"/>
      <c r="IO183" s="36"/>
      <c r="IP183" s="36"/>
      <c r="IQ183" s="36"/>
      <c r="IR183" s="36"/>
      <c r="IS183" s="36"/>
      <c r="IT183" s="36"/>
      <c r="IU183" s="36"/>
      <c r="IV183" s="36"/>
    </row>
    <row r="184" spans="1:256" s="35" customFormat="1" ht="15.75">
      <c r="A184" s="36"/>
      <c r="B184" s="141"/>
      <c r="C184" s="22"/>
      <c r="D184" s="142"/>
      <c r="E184" s="142"/>
      <c r="F184" s="142"/>
      <c r="G184" s="142"/>
      <c r="H184" s="142"/>
      <c r="I184" s="142"/>
      <c r="J184" s="142"/>
      <c r="FW184" s="36"/>
      <c r="FX184" s="36"/>
      <c r="FY184" s="36"/>
      <c r="FZ184" s="36"/>
      <c r="GA184" s="36"/>
      <c r="GB184" s="36"/>
      <c r="GC184" s="36"/>
      <c r="GD184" s="36"/>
      <c r="GE184" s="36"/>
      <c r="GF184" s="36"/>
      <c r="GG184" s="36"/>
      <c r="GH184" s="36"/>
      <c r="GI184" s="36"/>
      <c r="GJ184" s="36"/>
      <c r="GK184" s="36"/>
      <c r="GL184" s="36"/>
      <c r="GM184" s="36"/>
      <c r="GN184" s="36"/>
      <c r="GO184" s="36"/>
      <c r="GP184" s="36"/>
      <c r="GQ184" s="36"/>
      <c r="GR184" s="36"/>
      <c r="GS184" s="36"/>
      <c r="GT184" s="36"/>
      <c r="GU184" s="36"/>
      <c r="GV184" s="36"/>
      <c r="GW184" s="36"/>
      <c r="GX184" s="36"/>
      <c r="GY184" s="36"/>
      <c r="GZ184" s="36"/>
      <c r="HA184" s="36"/>
      <c r="HB184" s="36"/>
      <c r="HC184" s="36"/>
      <c r="HD184" s="36"/>
      <c r="HE184" s="36"/>
      <c r="HF184" s="36"/>
      <c r="HG184" s="36"/>
      <c r="HH184" s="36"/>
      <c r="HI184" s="36"/>
      <c r="HJ184" s="36"/>
      <c r="HK184" s="36"/>
      <c r="HL184" s="36"/>
      <c r="HM184" s="36"/>
      <c r="HN184" s="36"/>
      <c r="HO184" s="36"/>
      <c r="HP184" s="36"/>
      <c r="HQ184" s="36"/>
      <c r="HR184" s="36"/>
      <c r="HS184" s="36"/>
      <c r="HT184" s="36"/>
      <c r="HU184" s="36"/>
      <c r="HV184" s="36"/>
      <c r="HW184" s="36"/>
      <c r="HX184" s="36"/>
      <c r="HY184" s="36"/>
      <c r="HZ184" s="36"/>
      <c r="IA184" s="36"/>
      <c r="IB184" s="36"/>
      <c r="IC184" s="36"/>
      <c r="ID184" s="36"/>
      <c r="IE184" s="36"/>
      <c r="IF184" s="36"/>
      <c r="IG184" s="36"/>
      <c r="IH184" s="36"/>
      <c r="II184" s="36"/>
      <c r="IJ184" s="36"/>
      <c r="IK184" s="36"/>
      <c r="IL184" s="36"/>
      <c r="IM184" s="36"/>
      <c r="IN184" s="36"/>
      <c r="IO184" s="36"/>
      <c r="IP184" s="36"/>
      <c r="IQ184" s="36"/>
      <c r="IR184" s="36"/>
      <c r="IS184" s="36"/>
      <c r="IT184" s="36"/>
      <c r="IU184" s="36"/>
      <c r="IV184" s="36"/>
    </row>
    <row r="185" spans="1:256" s="35" customFormat="1" ht="15.75">
      <c r="A185" s="36"/>
      <c r="B185" s="141"/>
      <c r="C185" s="142"/>
      <c r="D185" s="142"/>
      <c r="E185" s="142"/>
      <c r="F185" s="142"/>
      <c r="G185" s="142"/>
      <c r="H185" s="142"/>
      <c r="I185" s="142"/>
      <c r="J185" s="142"/>
      <c r="FW185" s="36"/>
      <c r="FX185" s="36"/>
      <c r="FY185" s="36"/>
      <c r="FZ185" s="36"/>
      <c r="GA185" s="36"/>
      <c r="GB185" s="36"/>
      <c r="GC185" s="36"/>
      <c r="GD185" s="36"/>
      <c r="GE185" s="36"/>
      <c r="GF185" s="36"/>
      <c r="GG185" s="36"/>
      <c r="GH185" s="36"/>
      <c r="GI185" s="36"/>
      <c r="GJ185" s="36"/>
      <c r="GK185" s="36"/>
      <c r="GL185" s="36"/>
      <c r="GM185" s="36"/>
      <c r="GN185" s="36"/>
      <c r="GO185" s="36"/>
      <c r="GP185" s="36"/>
      <c r="GQ185" s="36"/>
      <c r="GR185" s="36"/>
      <c r="GS185" s="36"/>
      <c r="GT185" s="36"/>
      <c r="GU185" s="36"/>
      <c r="GV185" s="36"/>
      <c r="GW185" s="36"/>
      <c r="GX185" s="36"/>
      <c r="GY185" s="36"/>
      <c r="GZ185" s="36"/>
      <c r="HA185" s="36"/>
      <c r="HB185" s="36"/>
      <c r="HC185" s="36"/>
      <c r="HD185" s="36"/>
      <c r="HE185" s="36"/>
      <c r="HF185" s="36"/>
      <c r="HG185" s="36"/>
      <c r="HH185" s="36"/>
      <c r="HI185" s="36"/>
      <c r="HJ185" s="36"/>
      <c r="HK185" s="36"/>
      <c r="HL185" s="36"/>
      <c r="HM185" s="36"/>
      <c r="HN185" s="36"/>
      <c r="HO185" s="36"/>
      <c r="HP185" s="36"/>
      <c r="HQ185" s="36"/>
      <c r="HR185" s="36"/>
      <c r="HS185" s="36"/>
      <c r="HT185" s="36"/>
      <c r="HU185" s="36"/>
      <c r="HV185" s="36"/>
      <c r="HW185" s="36"/>
      <c r="HX185" s="36"/>
      <c r="HY185" s="36"/>
      <c r="HZ185" s="36"/>
      <c r="IA185" s="36"/>
      <c r="IB185" s="36"/>
      <c r="IC185" s="36"/>
      <c r="ID185" s="36"/>
      <c r="IE185" s="36"/>
      <c r="IF185" s="36"/>
      <c r="IG185" s="36"/>
      <c r="IH185" s="36"/>
      <c r="II185" s="36"/>
      <c r="IJ185" s="36"/>
      <c r="IK185" s="36"/>
      <c r="IL185" s="36"/>
      <c r="IM185" s="36"/>
      <c r="IN185" s="36"/>
      <c r="IO185" s="36"/>
      <c r="IP185" s="36"/>
      <c r="IQ185" s="36"/>
      <c r="IR185" s="36"/>
      <c r="IS185" s="36"/>
      <c r="IT185" s="36"/>
      <c r="IU185" s="36"/>
      <c r="IV185" s="36"/>
    </row>
    <row r="186" spans="1:256" s="35" customFormat="1" ht="15.75">
      <c r="A186" s="36"/>
      <c r="B186" s="141"/>
      <c r="C186" s="142"/>
      <c r="D186" s="142"/>
      <c r="E186" s="142"/>
      <c r="F186" s="142"/>
      <c r="G186" s="142"/>
      <c r="H186" s="142"/>
      <c r="I186" s="142"/>
      <c r="J186" s="142"/>
      <c r="FW186" s="36"/>
      <c r="FX186" s="36"/>
      <c r="FY186" s="36"/>
      <c r="FZ186" s="36"/>
      <c r="GA186" s="36"/>
      <c r="GB186" s="36"/>
      <c r="GC186" s="36"/>
      <c r="GD186" s="36"/>
      <c r="GE186" s="36"/>
      <c r="GF186" s="36"/>
      <c r="GG186" s="36"/>
      <c r="GH186" s="36"/>
      <c r="GI186" s="36"/>
      <c r="GJ186" s="36"/>
      <c r="GK186" s="36"/>
      <c r="GL186" s="36"/>
      <c r="GM186" s="36"/>
      <c r="GN186" s="36"/>
      <c r="GO186" s="36"/>
      <c r="GP186" s="36"/>
      <c r="GQ186" s="36"/>
      <c r="GR186" s="36"/>
      <c r="GS186" s="36"/>
      <c r="GT186" s="36"/>
      <c r="GU186" s="36"/>
      <c r="GV186" s="36"/>
      <c r="GW186" s="36"/>
      <c r="GX186" s="36"/>
      <c r="GY186" s="36"/>
      <c r="GZ186" s="36"/>
      <c r="HA186" s="36"/>
      <c r="HB186" s="36"/>
      <c r="HC186" s="36"/>
      <c r="HD186" s="36"/>
      <c r="HE186" s="36"/>
      <c r="HF186" s="36"/>
      <c r="HG186" s="36"/>
      <c r="HH186" s="36"/>
      <c r="HI186" s="36"/>
      <c r="HJ186" s="36"/>
      <c r="HK186" s="36"/>
      <c r="HL186" s="36"/>
      <c r="HM186" s="36"/>
      <c r="HN186" s="36"/>
      <c r="HO186" s="36"/>
      <c r="HP186" s="36"/>
      <c r="HQ186" s="36"/>
      <c r="HR186" s="36"/>
      <c r="HS186" s="36"/>
      <c r="HT186" s="36"/>
      <c r="HU186" s="36"/>
      <c r="HV186" s="36"/>
      <c r="HW186" s="36"/>
      <c r="HX186" s="36"/>
      <c r="HY186" s="36"/>
      <c r="HZ186" s="36"/>
      <c r="IA186" s="36"/>
      <c r="IB186" s="36"/>
      <c r="IC186" s="36"/>
      <c r="ID186" s="36"/>
      <c r="IE186" s="36"/>
      <c r="IF186" s="36"/>
      <c r="IG186" s="36"/>
      <c r="IH186" s="36"/>
      <c r="II186" s="36"/>
      <c r="IJ186" s="36"/>
      <c r="IK186" s="36"/>
      <c r="IL186" s="36"/>
      <c r="IM186" s="36"/>
      <c r="IN186" s="36"/>
      <c r="IO186" s="36"/>
      <c r="IP186" s="36"/>
      <c r="IQ186" s="36"/>
      <c r="IR186" s="36"/>
      <c r="IS186" s="36"/>
      <c r="IT186" s="36"/>
      <c r="IU186" s="36"/>
      <c r="IV186" s="36"/>
    </row>
    <row r="187" spans="1:256" s="35" customFormat="1" ht="15.75">
      <c r="A187" s="36"/>
      <c r="B187" s="141"/>
      <c r="C187" s="142"/>
      <c r="D187" s="142"/>
      <c r="E187" s="142"/>
      <c r="F187" s="142"/>
      <c r="G187" s="142"/>
      <c r="H187" s="142"/>
      <c r="I187" s="142"/>
      <c r="J187" s="142"/>
      <c r="FW187" s="36"/>
      <c r="FX187" s="36"/>
      <c r="FY187" s="36"/>
      <c r="FZ187" s="36"/>
      <c r="GA187" s="36"/>
      <c r="GB187" s="36"/>
      <c r="GC187" s="36"/>
      <c r="GD187" s="36"/>
      <c r="GE187" s="36"/>
      <c r="GF187" s="36"/>
      <c r="GG187" s="36"/>
      <c r="GH187" s="36"/>
      <c r="GI187" s="36"/>
      <c r="GJ187" s="36"/>
      <c r="GK187" s="36"/>
      <c r="GL187" s="36"/>
      <c r="GM187" s="36"/>
      <c r="GN187" s="36"/>
      <c r="GO187" s="36"/>
      <c r="GP187" s="36"/>
      <c r="GQ187" s="36"/>
      <c r="GR187" s="36"/>
      <c r="GS187" s="36"/>
      <c r="GT187" s="36"/>
      <c r="GU187" s="36"/>
      <c r="GV187" s="36"/>
      <c r="GW187" s="36"/>
      <c r="GX187" s="36"/>
      <c r="GY187" s="36"/>
      <c r="GZ187" s="36"/>
      <c r="HA187" s="36"/>
      <c r="HB187" s="36"/>
      <c r="HC187" s="36"/>
      <c r="HD187" s="36"/>
      <c r="HE187" s="36"/>
      <c r="HF187" s="36"/>
      <c r="HG187" s="36"/>
      <c r="HH187" s="36"/>
      <c r="HI187" s="36"/>
      <c r="HJ187" s="36"/>
      <c r="HK187" s="36"/>
      <c r="HL187" s="36"/>
      <c r="HM187" s="36"/>
      <c r="HN187" s="36"/>
      <c r="HO187" s="36"/>
      <c r="HP187" s="36"/>
      <c r="HQ187" s="36"/>
      <c r="HR187" s="36"/>
      <c r="HS187" s="36"/>
      <c r="HT187" s="36"/>
      <c r="HU187" s="36"/>
      <c r="HV187" s="36"/>
      <c r="HW187" s="36"/>
      <c r="HX187" s="36"/>
      <c r="HY187" s="36"/>
      <c r="HZ187" s="36"/>
      <c r="IA187" s="36"/>
      <c r="IB187" s="36"/>
      <c r="IC187" s="36"/>
      <c r="ID187" s="36"/>
      <c r="IE187" s="36"/>
      <c r="IF187" s="36"/>
      <c r="IG187" s="36"/>
      <c r="IH187" s="36"/>
      <c r="II187" s="36"/>
      <c r="IJ187" s="36"/>
      <c r="IK187" s="36"/>
      <c r="IL187" s="36"/>
      <c r="IM187" s="36"/>
      <c r="IN187" s="36"/>
      <c r="IO187" s="36"/>
      <c r="IP187" s="36"/>
      <c r="IQ187" s="36"/>
      <c r="IR187" s="36"/>
      <c r="IS187" s="36"/>
      <c r="IT187" s="36"/>
      <c r="IU187" s="36"/>
      <c r="IV187" s="36"/>
    </row>
    <row r="188" spans="1:256" s="35" customFormat="1" ht="15.75">
      <c r="A188" s="36"/>
      <c r="B188" s="141"/>
      <c r="C188" s="142"/>
      <c r="D188" s="142"/>
      <c r="E188" s="142"/>
      <c r="F188" s="142"/>
      <c r="G188" s="142"/>
      <c r="H188" s="142"/>
      <c r="I188" s="142"/>
      <c r="J188" s="142"/>
      <c r="FW188" s="36"/>
      <c r="FX188" s="36"/>
      <c r="FY188" s="36"/>
      <c r="FZ188" s="36"/>
      <c r="GA188" s="36"/>
      <c r="GB188" s="36"/>
      <c r="GC188" s="36"/>
      <c r="GD188" s="36"/>
      <c r="GE188" s="36"/>
      <c r="GF188" s="36"/>
      <c r="GG188" s="36"/>
      <c r="GH188" s="36"/>
      <c r="GI188" s="36"/>
      <c r="GJ188" s="36"/>
      <c r="GK188" s="36"/>
      <c r="GL188" s="36"/>
      <c r="GM188" s="36"/>
      <c r="GN188" s="36"/>
      <c r="GO188" s="36"/>
      <c r="GP188" s="36"/>
      <c r="GQ188" s="36"/>
      <c r="GR188" s="36"/>
      <c r="GS188" s="36"/>
      <c r="GT188" s="36"/>
      <c r="GU188" s="36"/>
      <c r="GV188" s="36"/>
      <c r="GW188" s="36"/>
      <c r="GX188" s="36"/>
      <c r="GY188" s="36"/>
      <c r="GZ188" s="36"/>
      <c r="HA188" s="36"/>
      <c r="HB188" s="36"/>
      <c r="HC188" s="36"/>
      <c r="HD188" s="36"/>
      <c r="HE188" s="36"/>
      <c r="HF188" s="36"/>
      <c r="HG188" s="36"/>
      <c r="HH188" s="36"/>
      <c r="HI188" s="36"/>
      <c r="HJ188" s="36"/>
      <c r="HK188" s="36"/>
      <c r="HL188" s="36"/>
      <c r="HM188" s="36"/>
      <c r="HN188" s="36"/>
      <c r="HO188" s="36"/>
      <c r="HP188" s="36"/>
      <c r="HQ188" s="36"/>
      <c r="HR188" s="36"/>
      <c r="HS188" s="36"/>
      <c r="HT188" s="36"/>
      <c r="HU188" s="36"/>
      <c r="HV188" s="36"/>
      <c r="HW188" s="36"/>
      <c r="HX188" s="36"/>
      <c r="HY188" s="36"/>
      <c r="HZ188" s="36"/>
      <c r="IA188" s="36"/>
      <c r="IB188" s="36"/>
      <c r="IC188" s="36"/>
      <c r="ID188" s="36"/>
      <c r="IE188" s="36"/>
      <c r="IF188" s="36"/>
      <c r="IG188" s="36"/>
      <c r="IH188" s="36"/>
      <c r="II188" s="36"/>
      <c r="IJ188" s="36"/>
      <c r="IK188" s="36"/>
      <c r="IL188" s="36"/>
      <c r="IM188" s="36"/>
      <c r="IN188" s="36"/>
      <c r="IO188" s="36"/>
      <c r="IP188" s="36"/>
      <c r="IQ188" s="36"/>
      <c r="IR188" s="36"/>
      <c r="IS188" s="36"/>
      <c r="IT188" s="36"/>
      <c r="IU188" s="36"/>
      <c r="IV188" s="36"/>
    </row>
    <row r="189" spans="1:256" s="35" customFormat="1" ht="15.75">
      <c r="A189" s="36"/>
      <c r="B189" s="141"/>
      <c r="C189" s="142"/>
      <c r="D189" s="142"/>
      <c r="E189" s="142"/>
      <c r="F189" s="142"/>
      <c r="G189" s="142"/>
      <c r="H189" s="142"/>
      <c r="I189" s="142"/>
      <c r="J189" s="142"/>
      <c r="FW189" s="36"/>
      <c r="FX189" s="36"/>
      <c r="FY189" s="36"/>
      <c r="FZ189" s="36"/>
      <c r="GA189" s="36"/>
      <c r="GB189" s="36"/>
      <c r="GC189" s="36"/>
      <c r="GD189" s="36"/>
      <c r="GE189" s="36"/>
      <c r="GF189" s="36"/>
      <c r="GG189" s="36"/>
      <c r="GH189" s="36"/>
      <c r="GI189" s="36"/>
      <c r="GJ189" s="36"/>
      <c r="GK189" s="36"/>
      <c r="GL189" s="36"/>
      <c r="GM189" s="36"/>
      <c r="GN189" s="36"/>
      <c r="GO189" s="36"/>
      <c r="GP189" s="36"/>
      <c r="GQ189" s="36"/>
      <c r="GR189" s="36"/>
      <c r="GS189" s="36"/>
      <c r="GT189" s="36"/>
      <c r="GU189" s="36"/>
      <c r="GV189" s="36"/>
      <c r="GW189" s="36"/>
      <c r="GX189" s="36"/>
      <c r="GY189" s="36"/>
      <c r="GZ189" s="36"/>
      <c r="HA189" s="36"/>
      <c r="HB189" s="36"/>
      <c r="HC189" s="36"/>
      <c r="HD189" s="36"/>
      <c r="HE189" s="36"/>
      <c r="HF189" s="36"/>
      <c r="HG189" s="36"/>
      <c r="HH189" s="36"/>
      <c r="HI189" s="36"/>
      <c r="HJ189" s="36"/>
      <c r="HK189" s="36"/>
      <c r="HL189" s="36"/>
      <c r="HM189" s="36"/>
      <c r="HN189" s="36"/>
      <c r="HO189" s="36"/>
      <c r="HP189" s="36"/>
      <c r="HQ189" s="36"/>
      <c r="HR189" s="36"/>
      <c r="HS189" s="36"/>
      <c r="HT189" s="36"/>
      <c r="HU189" s="36"/>
      <c r="HV189" s="36"/>
      <c r="HW189" s="36"/>
      <c r="HX189" s="36"/>
      <c r="HY189" s="36"/>
      <c r="HZ189" s="36"/>
      <c r="IA189" s="36"/>
      <c r="IB189" s="36"/>
      <c r="IC189" s="36"/>
      <c r="ID189" s="36"/>
      <c r="IE189" s="36"/>
      <c r="IF189" s="36"/>
      <c r="IG189" s="36"/>
      <c r="IH189" s="36"/>
      <c r="II189" s="36"/>
      <c r="IJ189" s="36"/>
      <c r="IK189" s="36"/>
      <c r="IL189" s="36"/>
      <c r="IM189" s="36"/>
      <c r="IN189" s="36"/>
      <c r="IO189" s="36"/>
      <c r="IP189" s="36"/>
      <c r="IQ189" s="36"/>
      <c r="IR189" s="36"/>
      <c r="IS189" s="36"/>
      <c r="IT189" s="36"/>
      <c r="IU189" s="36"/>
      <c r="IV189" s="36"/>
    </row>
    <row r="190" spans="1:256" s="35" customFormat="1" ht="15.75">
      <c r="A190" s="36"/>
      <c r="B190" s="141"/>
      <c r="C190" s="142"/>
      <c r="D190" s="142"/>
      <c r="E190" s="142"/>
      <c r="F190" s="142"/>
      <c r="G190" s="142"/>
      <c r="H190" s="142"/>
      <c r="I190" s="142"/>
      <c r="J190" s="142"/>
      <c r="FW190" s="36"/>
      <c r="FX190" s="36"/>
      <c r="FY190" s="36"/>
      <c r="FZ190" s="36"/>
      <c r="GA190" s="36"/>
      <c r="GB190" s="36"/>
      <c r="GC190" s="36"/>
      <c r="GD190" s="36"/>
      <c r="GE190" s="36"/>
      <c r="GF190" s="36"/>
      <c r="GG190" s="36"/>
      <c r="GH190" s="36"/>
      <c r="GI190" s="36"/>
      <c r="GJ190" s="36"/>
      <c r="GK190" s="36"/>
      <c r="GL190" s="36"/>
      <c r="GM190" s="36"/>
      <c r="GN190" s="36"/>
      <c r="GO190" s="36"/>
      <c r="GP190" s="36"/>
      <c r="GQ190" s="36"/>
      <c r="GR190" s="36"/>
      <c r="GS190" s="36"/>
      <c r="GT190" s="36"/>
      <c r="GU190" s="36"/>
      <c r="GV190" s="36"/>
      <c r="GW190" s="36"/>
      <c r="GX190" s="36"/>
      <c r="GY190" s="36"/>
      <c r="GZ190" s="36"/>
      <c r="HA190" s="36"/>
      <c r="HB190" s="36"/>
      <c r="HC190" s="36"/>
      <c r="HD190" s="36"/>
      <c r="HE190" s="36"/>
      <c r="HF190" s="36"/>
      <c r="HG190" s="36"/>
      <c r="HH190" s="36"/>
      <c r="HI190" s="36"/>
      <c r="HJ190" s="36"/>
      <c r="HK190" s="36"/>
      <c r="HL190" s="36"/>
      <c r="HM190" s="36"/>
      <c r="HN190" s="36"/>
      <c r="HO190" s="36"/>
      <c r="HP190" s="36"/>
      <c r="HQ190" s="36"/>
      <c r="HR190" s="36"/>
      <c r="HS190" s="36"/>
      <c r="HT190" s="36"/>
      <c r="HU190" s="36"/>
      <c r="HV190" s="36"/>
      <c r="HW190" s="36"/>
      <c r="HX190" s="36"/>
      <c r="HY190" s="36"/>
      <c r="HZ190" s="36"/>
      <c r="IA190" s="36"/>
      <c r="IB190" s="36"/>
      <c r="IC190" s="36"/>
      <c r="ID190" s="36"/>
      <c r="IE190" s="36"/>
      <c r="IF190" s="36"/>
      <c r="IG190" s="36"/>
      <c r="IH190" s="36"/>
      <c r="II190" s="36"/>
      <c r="IJ190" s="36"/>
      <c r="IK190" s="36"/>
      <c r="IL190" s="36"/>
      <c r="IM190" s="36"/>
      <c r="IN190" s="36"/>
      <c r="IO190" s="36"/>
      <c r="IP190" s="36"/>
      <c r="IQ190" s="36"/>
      <c r="IR190" s="36"/>
      <c r="IS190" s="36"/>
      <c r="IT190" s="36"/>
      <c r="IU190" s="36"/>
      <c r="IV190" s="36"/>
    </row>
    <row r="191" spans="1:256" s="35" customFormat="1" ht="18.75" customHeight="1">
      <c r="A191" s="36"/>
      <c r="B191" s="141"/>
      <c r="C191" s="142"/>
      <c r="D191" s="142"/>
      <c r="E191" s="142"/>
      <c r="F191" s="142"/>
      <c r="G191" s="142"/>
      <c r="H191" s="142"/>
      <c r="I191" s="142"/>
      <c r="J191" s="142"/>
      <c r="FW191" s="36"/>
      <c r="FX191" s="36"/>
      <c r="FY191" s="36"/>
      <c r="FZ191" s="36"/>
      <c r="GA191" s="36"/>
      <c r="GB191" s="36"/>
      <c r="GC191" s="36"/>
      <c r="GD191" s="36"/>
      <c r="GE191" s="36"/>
      <c r="GF191" s="36"/>
      <c r="GG191" s="36"/>
      <c r="GH191" s="36"/>
      <c r="GI191" s="36"/>
      <c r="GJ191" s="36"/>
      <c r="GK191" s="36"/>
      <c r="GL191" s="36"/>
      <c r="GM191" s="36"/>
      <c r="GN191" s="36"/>
      <c r="GO191" s="36"/>
      <c r="GP191" s="36"/>
      <c r="GQ191" s="36"/>
      <c r="GR191" s="36"/>
      <c r="GS191" s="36"/>
      <c r="GT191" s="36"/>
      <c r="GU191" s="36"/>
      <c r="GV191" s="36"/>
      <c r="GW191" s="36"/>
      <c r="GX191" s="36"/>
      <c r="GY191" s="36"/>
      <c r="GZ191" s="36"/>
      <c r="HA191" s="36"/>
      <c r="HB191" s="36"/>
      <c r="HC191" s="36"/>
      <c r="HD191" s="36"/>
      <c r="HE191" s="36"/>
      <c r="HF191" s="36"/>
      <c r="HG191" s="36"/>
      <c r="HH191" s="36"/>
      <c r="HI191" s="36"/>
      <c r="HJ191" s="36"/>
      <c r="HK191" s="36"/>
      <c r="HL191" s="36"/>
      <c r="HM191" s="36"/>
      <c r="HN191" s="36"/>
      <c r="HO191" s="36"/>
      <c r="HP191" s="36"/>
      <c r="HQ191" s="36"/>
      <c r="HR191" s="36"/>
      <c r="HS191" s="36"/>
      <c r="HT191" s="36"/>
      <c r="HU191" s="36"/>
      <c r="HV191" s="36"/>
      <c r="HW191" s="36"/>
      <c r="HX191" s="36"/>
      <c r="HY191" s="36"/>
      <c r="HZ191" s="36"/>
      <c r="IA191" s="36"/>
      <c r="IB191" s="36"/>
      <c r="IC191" s="36"/>
      <c r="ID191" s="36"/>
      <c r="IE191" s="36"/>
      <c r="IF191" s="36"/>
      <c r="IG191" s="36"/>
      <c r="IH191" s="36"/>
      <c r="II191" s="36"/>
      <c r="IJ191" s="36"/>
      <c r="IK191" s="36"/>
      <c r="IL191" s="36"/>
      <c r="IM191" s="36"/>
      <c r="IN191" s="36"/>
      <c r="IO191" s="36"/>
      <c r="IP191" s="36"/>
      <c r="IQ191" s="36"/>
      <c r="IR191" s="36"/>
      <c r="IS191" s="36"/>
      <c r="IT191" s="36"/>
      <c r="IU191" s="36"/>
      <c r="IV191" s="36"/>
    </row>
    <row r="192" spans="1:256" s="21" customFormat="1" ht="15.75">
      <c r="A192" s="22"/>
      <c r="B192" s="144"/>
      <c r="C192" s="142"/>
      <c r="D192" s="142"/>
      <c r="E192" s="142"/>
      <c r="F192" s="142"/>
      <c r="G192" s="142"/>
      <c r="H192" s="142"/>
      <c r="I192" s="142"/>
      <c r="J192" s="142"/>
      <c r="FW192" s="22"/>
      <c r="FX192" s="22"/>
      <c r="FY192" s="22"/>
      <c r="FZ192" s="22"/>
      <c r="GA192" s="22"/>
      <c r="GB192" s="22"/>
      <c r="GC192" s="22"/>
      <c r="GD192" s="22"/>
      <c r="GE192" s="22"/>
      <c r="GF192" s="22"/>
      <c r="GG192" s="22"/>
      <c r="GH192" s="22"/>
      <c r="GI192" s="22"/>
      <c r="GJ192" s="22"/>
      <c r="GK192" s="22"/>
      <c r="GL192" s="22"/>
      <c r="GM192" s="22"/>
      <c r="GN192" s="22"/>
      <c r="GO192" s="22"/>
      <c r="GP192" s="22"/>
      <c r="GQ192" s="22"/>
      <c r="GR192" s="22"/>
      <c r="GS192" s="22"/>
      <c r="GT192" s="22"/>
      <c r="GU192" s="22"/>
      <c r="GV192" s="22"/>
      <c r="GW192" s="22"/>
      <c r="GX192" s="22"/>
      <c r="GY192" s="22"/>
      <c r="GZ192" s="22"/>
      <c r="HA192" s="22"/>
      <c r="HB192" s="22"/>
      <c r="HC192" s="22"/>
      <c r="HD192" s="22"/>
      <c r="HE192" s="22"/>
      <c r="HF192" s="22"/>
      <c r="HG192" s="22"/>
      <c r="HH192" s="22"/>
      <c r="HI192" s="22"/>
      <c r="HJ192" s="22"/>
      <c r="HK192" s="22"/>
      <c r="HL192" s="22"/>
      <c r="HM192" s="22"/>
      <c r="HN192" s="22"/>
      <c r="HO192" s="22"/>
      <c r="HP192" s="22"/>
      <c r="HQ192" s="22"/>
      <c r="HR192" s="22"/>
      <c r="HS192" s="22"/>
      <c r="HT192" s="22"/>
      <c r="HU192" s="22"/>
      <c r="HV192" s="22"/>
      <c r="HW192" s="22"/>
      <c r="HX192" s="22"/>
      <c r="HY192" s="22"/>
      <c r="HZ192" s="22"/>
      <c r="IA192" s="22"/>
      <c r="IB192" s="22"/>
      <c r="IC192" s="22"/>
      <c r="ID192" s="22"/>
      <c r="IE192" s="22"/>
      <c r="IF192" s="22"/>
      <c r="IG192" s="22"/>
      <c r="IH192" s="22"/>
      <c r="II192" s="22"/>
      <c r="IJ192" s="22"/>
      <c r="IK192" s="22"/>
      <c r="IL192" s="22"/>
      <c r="IM192" s="22"/>
      <c r="IN192" s="22"/>
      <c r="IO192" s="22"/>
      <c r="IP192" s="22"/>
      <c r="IQ192" s="22"/>
      <c r="IR192" s="22"/>
      <c r="IS192" s="22"/>
      <c r="IT192" s="22"/>
      <c r="IU192" s="22"/>
      <c r="IV192" s="22"/>
    </row>
    <row r="193" spans="1:256" s="35" customFormat="1" ht="15.75">
      <c r="A193" s="36"/>
      <c r="B193" s="141"/>
      <c r="C193" s="142"/>
      <c r="D193" s="142"/>
      <c r="E193" s="142"/>
      <c r="F193" s="142"/>
      <c r="G193" s="142"/>
      <c r="H193" s="142"/>
      <c r="I193" s="142"/>
      <c r="J193" s="142"/>
      <c r="FW193" s="36"/>
      <c r="FX193" s="36"/>
      <c r="FY193" s="36"/>
      <c r="FZ193" s="36"/>
      <c r="GA193" s="36"/>
      <c r="GB193" s="36"/>
      <c r="GC193" s="36"/>
      <c r="GD193" s="36"/>
      <c r="GE193" s="36"/>
      <c r="GF193" s="36"/>
      <c r="GG193" s="36"/>
      <c r="GH193" s="36"/>
      <c r="GI193" s="36"/>
      <c r="GJ193" s="36"/>
      <c r="GK193" s="36"/>
      <c r="GL193" s="36"/>
      <c r="GM193" s="36"/>
      <c r="GN193" s="36"/>
      <c r="GO193" s="36"/>
      <c r="GP193" s="36"/>
      <c r="GQ193" s="36"/>
      <c r="GR193" s="36"/>
      <c r="GS193" s="36"/>
      <c r="GT193" s="36"/>
      <c r="GU193" s="36"/>
      <c r="GV193" s="36"/>
      <c r="GW193" s="36"/>
      <c r="GX193" s="36"/>
      <c r="GY193" s="36"/>
      <c r="GZ193" s="36"/>
      <c r="HA193" s="36"/>
      <c r="HB193" s="36"/>
      <c r="HC193" s="36"/>
      <c r="HD193" s="36"/>
      <c r="HE193" s="36"/>
      <c r="HF193" s="36"/>
      <c r="HG193" s="36"/>
      <c r="HH193" s="36"/>
      <c r="HI193" s="36"/>
      <c r="HJ193" s="36"/>
      <c r="HK193" s="36"/>
      <c r="HL193" s="36"/>
      <c r="HM193" s="36"/>
      <c r="HN193" s="36"/>
      <c r="HO193" s="36"/>
      <c r="HP193" s="36"/>
      <c r="HQ193" s="36"/>
      <c r="HR193" s="36"/>
      <c r="HS193" s="36"/>
      <c r="HT193" s="36"/>
      <c r="HU193" s="36"/>
      <c r="HV193" s="36"/>
      <c r="HW193" s="36"/>
      <c r="HX193" s="36"/>
      <c r="HY193" s="36"/>
      <c r="HZ193" s="36"/>
      <c r="IA193" s="36"/>
      <c r="IB193" s="36"/>
      <c r="IC193" s="36"/>
      <c r="ID193" s="36"/>
      <c r="IE193" s="36"/>
      <c r="IF193" s="36"/>
      <c r="IG193" s="36"/>
      <c r="IH193" s="36"/>
      <c r="II193" s="36"/>
      <c r="IJ193" s="36"/>
      <c r="IK193" s="36"/>
      <c r="IL193" s="36"/>
      <c r="IM193" s="36"/>
      <c r="IN193" s="36"/>
      <c r="IO193" s="36"/>
      <c r="IP193" s="36"/>
      <c r="IQ193" s="36"/>
      <c r="IR193" s="36"/>
      <c r="IS193" s="36"/>
      <c r="IT193" s="36"/>
      <c r="IU193" s="36"/>
      <c r="IV193" s="36"/>
    </row>
    <row r="194" spans="1:256" s="35" customFormat="1" ht="15.75">
      <c r="A194" s="36"/>
      <c r="B194" s="141"/>
      <c r="C194" s="142"/>
      <c r="D194" s="142"/>
      <c r="E194" s="142"/>
      <c r="F194" s="142"/>
      <c r="G194" s="142"/>
      <c r="H194" s="142"/>
      <c r="I194" s="142"/>
      <c r="J194" s="142"/>
      <c r="FW194" s="36"/>
      <c r="FX194" s="36"/>
      <c r="FY194" s="36"/>
      <c r="FZ194" s="36"/>
      <c r="GA194" s="36"/>
      <c r="GB194" s="36"/>
      <c r="GC194" s="36"/>
      <c r="GD194" s="36"/>
      <c r="GE194" s="36"/>
      <c r="GF194" s="36"/>
      <c r="GG194" s="36"/>
      <c r="GH194" s="36"/>
      <c r="GI194" s="36"/>
      <c r="GJ194" s="36"/>
      <c r="GK194" s="36"/>
      <c r="GL194" s="36"/>
      <c r="GM194" s="36"/>
      <c r="GN194" s="36"/>
      <c r="GO194" s="36"/>
      <c r="GP194" s="36"/>
      <c r="GQ194" s="36"/>
      <c r="GR194" s="36"/>
      <c r="GS194" s="36"/>
      <c r="GT194" s="36"/>
      <c r="GU194" s="36"/>
      <c r="GV194" s="36"/>
      <c r="GW194" s="36"/>
      <c r="GX194" s="36"/>
      <c r="GY194" s="36"/>
      <c r="GZ194" s="36"/>
      <c r="HA194" s="36"/>
      <c r="HB194" s="36"/>
      <c r="HC194" s="36"/>
      <c r="HD194" s="36"/>
      <c r="HE194" s="36"/>
      <c r="HF194" s="36"/>
      <c r="HG194" s="36"/>
      <c r="HH194" s="36"/>
      <c r="HI194" s="36"/>
      <c r="HJ194" s="36"/>
      <c r="HK194" s="36"/>
      <c r="HL194" s="36"/>
      <c r="HM194" s="36"/>
      <c r="HN194" s="36"/>
      <c r="HO194" s="36"/>
      <c r="HP194" s="36"/>
      <c r="HQ194" s="36"/>
      <c r="HR194" s="36"/>
      <c r="HS194" s="36"/>
      <c r="HT194" s="36"/>
      <c r="HU194" s="36"/>
      <c r="HV194" s="36"/>
      <c r="HW194" s="36"/>
      <c r="HX194" s="36"/>
      <c r="HY194" s="36"/>
      <c r="HZ194" s="36"/>
      <c r="IA194" s="36"/>
      <c r="IB194" s="36"/>
      <c r="IC194" s="36"/>
      <c r="ID194" s="36"/>
      <c r="IE194" s="36"/>
      <c r="IF194" s="36"/>
      <c r="IG194" s="36"/>
      <c r="IH194" s="36"/>
      <c r="II194" s="36"/>
      <c r="IJ194" s="36"/>
      <c r="IK194" s="36"/>
      <c r="IL194" s="36"/>
      <c r="IM194" s="36"/>
      <c r="IN194" s="36"/>
      <c r="IO194" s="36"/>
      <c r="IP194" s="36"/>
      <c r="IQ194" s="36"/>
      <c r="IR194" s="36"/>
      <c r="IS194" s="36"/>
      <c r="IT194" s="36"/>
      <c r="IU194" s="36"/>
      <c r="IV194" s="36"/>
    </row>
    <row r="195" spans="1:256" s="35" customFormat="1" ht="15.75">
      <c r="A195" s="36"/>
      <c r="B195" s="141"/>
      <c r="C195" s="142"/>
      <c r="D195" s="142"/>
      <c r="E195" s="142"/>
      <c r="F195" s="142"/>
      <c r="G195" s="142"/>
      <c r="H195" s="142"/>
      <c r="I195" s="142"/>
      <c r="J195" s="142"/>
      <c r="FW195" s="36"/>
      <c r="FX195" s="36"/>
      <c r="FY195" s="36"/>
      <c r="FZ195" s="36"/>
      <c r="GA195" s="36"/>
      <c r="GB195" s="36"/>
      <c r="GC195" s="36"/>
      <c r="GD195" s="36"/>
      <c r="GE195" s="36"/>
      <c r="GF195" s="36"/>
      <c r="GG195" s="36"/>
      <c r="GH195" s="36"/>
      <c r="GI195" s="36"/>
      <c r="GJ195" s="36"/>
      <c r="GK195" s="36"/>
      <c r="GL195" s="36"/>
      <c r="GM195" s="36"/>
      <c r="GN195" s="36"/>
      <c r="GO195" s="36"/>
      <c r="GP195" s="36"/>
      <c r="GQ195" s="36"/>
      <c r="GR195" s="36"/>
      <c r="GS195" s="36"/>
      <c r="GT195" s="36"/>
      <c r="GU195" s="36"/>
      <c r="GV195" s="36"/>
      <c r="GW195" s="36"/>
      <c r="GX195" s="36"/>
      <c r="GY195" s="36"/>
      <c r="GZ195" s="36"/>
      <c r="HA195" s="36"/>
      <c r="HB195" s="36"/>
      <c r="HC195" s="36"/>
      <c r="HD195" s="36"/>
      <c r="HE195" s="36"/>
      <c r="HF195" s="36"/>
      <c r="HG195" s="36"/>
      <c r="HH195" s="36"/>
      <c r="HI195" s="36"/>
      <c r="HJ195" s="36"/>
      <c r="HK195" s="36"/>
      <c r="HL195" s="36"/>
      <c r="HM195" s="36"/>
      <c r="HN195" s="36"/>
      <c r="HO195" s="36"/>
      <c r="HP195" s="36"/>
      <c r="HQ195" s="36"/>
      <c r="HR195" s="36"/>
      <c r="HS195" s="36"/>
      <c r="HT195" s="36"/>
      <c r="HU195" s="36"/>
      <c r="HV195" s="36"/>
      <c r="HW195" s="36"/>
      <c r="HX195" s="36"/>
      <c r="HY195" s="36"/>
      <c r="HZ195" s="36"/>
      <c r="IA195" s="36"/>
      <c r="IB195" s="36"/>
      <c r="IC195" s="36"/>
      <c r="ID195" s="36"/>
      <c r="IE195" s="36"/>
      <c r="IF195" s="36"/>
      <c r="IG195" s="36"/>
      <c r="IH195" s="36"/>
      <c r="II195" s="36"/>
      <c r="IJ195" s="36"/>
      <c r="IK195" s="36"/>
      <c r="IL195" s="36"/>
      <c r="IM195" s="36"/>
      <c r="IN195" s="36"/>
      <c r="IO195" s="36"/>
      <c r="IP195" s="36"/>
      <c r="IQ195" s="36"/>
      <c r="IR195" s="36"/>
      <c r="IS195" s="36"/>
      <c r="IT195" s="36"/>
      <c r="IU195" s="36"/>
      <c r="IV195" s="36"/>
    </row>
    <row r="196" spans="1:256" s="35" customFormat="1" ht="15.75">
      <c r="A196" s="36"/>
      <c r="B196" s="141"/>
      <c r="C196" s="142"/>
      <c r="D196" s="142"/>
      <c r="E196" s="142"/>
      <c r="F196" s="142"/>
      <c r="G196" s="142"/>
      <c r="H196" s="142"/>
      <c r="I196" s="142"/>
      <c r="J196" s="142"/>
      <c r="FW196" s="36"/>
      <c r="FX196" s="36"/>
      <c r="FY196" s="36"/>
      <c r="FZ196" s="36"/>
      <c r="GA196" s="36"/>
      <c r="GB196" s="36"/>
      <c r="GC196" s="36"/>
      <c r="GD196" s="36"/>
      <c r="GE196" s="36"/>
      <c r="GF196" s="36"/>
      <c r="GG196" s="36"/>
      <c r="GH196" s="36"/>
      <c r="GI196" s="36"/>
      <c r="GJ196" s="36"/>
      <c r="GK196" s="36"/>
      <c r="GL196" s="36"/>
      <c r="GM196" s="36"/>
      <c r="GN196" s="36"/>
      <c r="GO196" s="36"/>
      <c r="GP196" s="36"/>
      <c r="GQ196" s="36"/>
      <c r="GR196" s="36"/>
      <c r="GS196" s="36"/>
      <c r="GT196" s="36"/>
      <c r="GU196" s="36"/>
      <c r="GV196" s="36"/>
      <c r="GW196" s="36"/>
      <c r="GX196" s="36"/>
      <c r="GY196" s="36"/>
      <c r="GZ196" s="36"/>
      <c r="HA196" s="36"/>
      <c r="HB196" s="36"/>
      <c r="HC196" s="36"/>
      <c r="HD196" s="36"/>
      <c r="HE196" s="36"/>
      <c r="HF196" s="36"/>
      <c r="HG196" s="36"/>
      <c r="HH196" s="36"/>
      <c r="HI196" s="36"/>
      <c r="HJ196" s="36"/>
      <c r="HK196" s="36"/>
      <c r="HL196" s="36"/>
      <c r="HM196" s="36"/>
      <c r="HN196" s="36"/>
      <c r="HO196" s="36"/>
      <c r="HP196" s="36"/>
      <c r="HQ196" s="36"/>
      <c r="HR196" s="36"/>
      <c r="HS196" s="36"/>
      <c r="HT196" s="36"/>
      <c r="HU196" s="36"/>
      <c r="HV196" s="36"/>
      <c r="HW196" s="36"/>
      <c r="HX196" s="36"/>
      <c r="HY196" s="36"/>
      <c r="HZ196" s="36"/>
      <c r="IA196" s="36"/>
      <c r="IB196" s="36"/>
      <c r="IC196" s="36"/>
      <c r="ID196" s="36"/>
      <c r="IE196" s="36"/>
      <c r="IF196" s="36"/>
      <c r="IG196" s="36"/>
      <c r="IH196" s="36"/>
      <c r="II196" s="36"/>
      <c r="IJ196" s="36"/>
      <c r="IK196" s="36"/>
      <c r="IL196" s="36"/>
      <c r="IM196" s="36"/>
      <c r="IN196" s="36"/>
      <c r="IO196" s="36"/>
      <c r="IP196" s="36"/>
      <c r="IQ196" s="36"/>
      <c r="IR196" s="36"/>
      <c r="IS196" s="36"/>
      <c r="IT196" s="36"/>
      <c r="IU196" s="36"/>
      <c r="IV196" s="36"/>
    </row>
    <row r="197" spans="1:256" s="35" customFormat="1" ht="15.75">
      <c r="A197" s="36"/>
      <c r="B197" s="141"/>
      <c r="C197" s="142"/>
      <c r="D197" s="142"/>
      <c r="E197" s="142"/>
      <c r="F197" s="142"/>
      <c r="G197" s="142"/>
      <c r="H197" s="142"/>
      <c r="I197" s="142"/>
      <c r="J197" s="142"/>
      <c r="FW197" s="36"/>
      <c r="FX197" s="36"/>
      <c r="FY197" s="36"/>
      <c r="FZ197" s="36"/>
      <c r="GA197" s="36"/>
      <c r="GB197" s="36"/>
      <c r="GC197" s="36"/>
      <c r="GD197" s="36"/>
      <c r="GE197" s="36"/>
      <c r="GF197" s="36"/>
      <c r="GG197" s="36"/>
      <c r="GH197" s="36"/>
      <c r="GI197" s="36"/>
      <c r="GJ197" s="36"/>
      <c r="GK197" s="36"/>
      <c r="GL197" s="36"/>
      <c r="GM197" s="36"/>
      <c r="GN197" s="36"/>
      <c r="GO197" s="36"/>
      <c r="GP197" s="36"/>
      <c r="GQ197" s="36"/>
      <c r="GR197" s="36"/>
      <c r="GS197" s="36"/>
      <c r="GT197" s="36"/>
      <c r="GU197" s="36"/>
      <c r="GV197" s="36"/>
      <c r="GW197" s="36"/>
      <c r="GX197" s="36"/>
      <c r="GY197" s="36"/>
      <c r="GZ197" s="36"/>
      <c r="HA197" s="36"/>
      <c r="HB197" s="36"/>
      <c r="HC197" s="36"/>
      <c r="HD197" s="36"/>
      <c r="HE197" s="36"/>
      <c r="HF197" s="36"/>
      <c r="HG197" s="36"/>
      <c r="HH197" s="36"/>
      <c r="HI197" s="36"/>
      <c r="HJ197" s="36"/>
      <c r="HK197" s="36"/>
      <c r="HL197" s="36"/>
      <c r="HM197" s="36"/>
      <c r="HN197" s="36"/>
      <c r="HO197" s="36"/>
      <c r="HP197" s="36"/>
      <c r="HQ197" s="36"/>
      <c r="HR197" s="36"/>
      <c r="HS197" s="36"/>
      <c r="HT197" s="36"/>
      <c r="HU197" s="36"/>
      <c r="HV197" s="36"/>
      <c r="HW197" s="36"/>
      <c r="HX197" s="36"/>
      <c r="HY197" s="36"/>
      <c r="HZ197" s="36"/>
      <c r="IA197" s="36"/>
      <c r="IB197" s="36"/>
      <c r="IC197" s="36"/>
      <c r="ID197" s="36"/>
      <c r="IE197" s="36"/>
      <c r="IF197" s="36"/>
      <c r="IG197" s="36"/>
      <c r="IH197" s="36"/>
      <c r="II197" s="36"/>
      <c r="IJ197" s="36"/>
      <c r="IK197" s="36"/>
      <c r="IL197" s="36"/>
      <c r="IM197" s="36"/>
      <c r="IN197" s="36"/>
      <c r="IO197" s="36"/>
      <c r="IP197" s="36"/>
      <c r="IQ197" s="36"/>
      <c r="IR197" s="36"/>
      <c r="IS197" s="36"/>
      <c r="IT197" s="36"/>
      <c r="IU197" s="36"/>
      <c r="IV197" s="36"/>
    </row>
    <row r="198" spans="1:256" s="147" customFormat="1" ht="15.75">
      <c r="A198" s="145"/>
      <c r="B198" s="141"/>
      <c r="C198" s="142"/>
      <c r="D198" s="146"/>
      <c r="E198" s="146"/>
      <c r="F198" s="146"/>
      <c r="G198" s="146"/>
      <c r="H198" s="146"/>
      <c r="I198" s="146"/>
      <c r="J198" s="146"/>
      <c r="FW198" s="145"/>
      <c r="FX198" s="145"/>
      <c r="FY198" s="145"/>
      <c r="FZ198" s="145"/>
      <c r="GA198" s="145"/>
      <c r="GB198" s="145"/>
      <c r="GC198" s="145"/>
      <c r="GD198" s="145"/>
      <c r="GE198" s="145"/>
      <c r="GF198" s="145"/>
      <c r="GG198" s="145"/>
      <c r="GH198" s="145"/>
      <c r="GI198" s="145"/>
      <c r="GJ198" s="145"/>
      <c r="GK198" s="145"/>
      <c r="GL198" s="145"/>
      <c r="GM198" s="145"/>
      <c r="GN198" s="145"/>
      <c r="GO198" s="145"/>
      <c r="GP198" s="145"/>
      <c r="GQ198" s="145"/>
      <c r="GR198" s="145"/>
      <c r="GS198" s="145"/>
      <c r="GT198" s="145"/>
      <c r="GU198" s="145"/>
      <c r="GV198" s="145"/>
      <c r="GW198" s="145"/>
      <c r="GX198" s="145"/>
      <c r="GY198" s="145"/>
      <c r="GZ198" s="145"/>
      <c r="HA198" s="145"/>
      <c r="HB198" s="145"/>
      <c r="HC198" s="145"/>
      <c r="HD198" s="145"/>
      <c r="HE198" s="145"/>
      <c r="HF198" s="145"/>
      <c r="HG198" s="145"/>
      <c r="HH198" s="145"/>
      <c r="HI198" s="145"/>
      <c r="HJ198" s="145"/>
      <c r="HK198" s="145"/>
      <c r="HL198" s="145"/>
      <c r="HM198" s="145"/>
      <c r="HN198" s="145"/>
      <c r="HO198" s="145"/>
      <c r="HP198" s="145"/>
      <c r="HQ198" s="145"/>
      <c r="HR198" s="145"/>
      <c r="HS198" s="145"/>
      <c r="HT198" s="145"/>
      <c r="HU198" s="145"/>
      <c r="HV198" s="145"/>
      <c r="HW198" s="145"/>
      <c r="HX198" s="145"/>
      <c r="HY198" s="145"/>
      <c r="HZ198" s="145"/>
      <c r="IA198" s="145"/>
      <c r="IB198" s="145"/>
      <c r="IC198" s="145"/>
      <c r="ID198" s="145"/>
      <c r="IE198" s="145"/>
      <c r="IF198" s="145"/>
      <c r="IG198" s="145"/>
      <c r="IH198" s="145"/>
      <c r="II198" s="145"/>
      <c r="IJ198" s="145"/>
      <c r="IK198" s="145"/>
      <c r="IL198" s="145"/>
      <c r="IM198" s="145"/>
      <c r="IN198" s="145"/>
      <c r="IO198" s="145"/>
      <c r="IP198" s="145"/>
      <c r="IQ198" s="145"/>
      <c r="IR198" s="145"/>
      <c r="IS198" s="145"/>
      <c r="IT198" s="145"/>
      <c r="IU198" s="145"/>
      <c r="IV198" s="145"/>
    </row>
    <row r="199" spans="1:256" s="35" customFormat="1" ht="15">
      <c r="A199" s="36"/>
      <c r="B199" s="141"/>
      <c r="C199" s="22"/>
      <c r="D199" s="22"/>
      <c r="E199" s="22"/>
      <c r="F199" s="22"/>
      <c r="G199" s="22"/>
      <c r="H199" s="22"/>
      <c r="I199" s="22"/>
      <c r="J199" s="22"/>
      <c r="FW199" s="36"/>
      <c r="FX199" s="36"/>
      <c r="FY199" s="36"/>
      <c r="FZ199" s="36"/>
      <c r="GA199" s="36"/>
      <c r="GB199" s="36"/>
      <c r="GC199" s="36"/>
      <c r="GD199" s="36"/>
      <c r="GE199" s="36"/>
      <c r="GF199" s="36"/>
      <c r="GG199" s="36"/>
      <c r="GH199" s="36"/>
      <c r="GI199" s="36"/>
      <c r="GJ199" s="36"/>
      <c r="GK199" s="36"/>
      <c r="GL199" s="36"/>
      <c r="GM199" s="36"/>
      <c r="GN199" s="36"/>
      <c r="GO199" s="36"/>
      <c r="GP199" s="36"/>
      <c r="GQ199" s="36"/>
      <c r="GR199" s="36"/>
      <c r="GS199" s="36"/>
      <c r="GT199" s="36"/>
      <c r="GU199" s="36"/>
      <c r="GV199" s="36"/>
      <c r="GW199" s="36"/>
      <c r="GX199" s="36"/>
      <c r="GY199" s="36"/>
      <c r="GZ199" s="36"/>
      <c r="HA199" s="36"/>
      <c r="HB199" s="36"/>
      <c r="HC199" s="36"/>
      <c r="HD199" s="36"/>
      <c r="HE199" s="36"/>
      <c r="HF199" s="36"/>
      <c r="HG199" s="36"/>
      <c r="HH199" s="36"/>
      <c r="HI199" s="36"/>
      <c r="HJ199" s="36"/>
      <c r="HK199" s="36"/>
      <c r="HL199" s="36"/>
      <c r="HM199" s="36"/>
      <c r="HN199" s="36"/>
      <c r="HO199" s="36"/>
      <c r="HP199" s="36"/>
      <c r="HQ199" s="36"/>
      <c r="HR199" s="36"/>
      <c r="HS199" s="36"/>
      <c r="HT199" s="36"/>
      <c r="HU199" s="36"/>
      <c r="HV199" s="36"/>
      <c r="HW199" s="36"/>
      <c r="HX199" s="36"/>
      <c r="HY199" s="36"/>
      <c r="HZ199" s="36"/>
      <c r="IA199" s="36"/>
      <c r="IB199" s="36"/>
      <c r="IC199" s="36"/>
      <c r="ID199" s="36"/>
      <c r="IE199" s="36"/>
      <c r="IF199" s="36"/>
      <c r="IG199" s="36"/>
      <c r="IH199" s="36"/>
      <c r="II199" s="36"/>
      <c r="IJ199" s="36"/>
      <c r="IK199" s="36"/>
      <c r="IL199" s="36"/>
      <c r="IM199" s="36"/>
      <c r="IN199" s="36"/>
      <c r="IO199" s="36"/>
      <c r="IP199" s="36"/>
      <c r="IQ199" s="36"/>
      <c r="IR199" s="36"/>
      <c r="IS199" s="36"/>
      <c r="IT199" s="36"/>
      <c r="IU199" s="36"/>
      <c r="IV199" s="36"/>
    </row>
    <row r="200" spans="1:256" s="35" customFormat="1" ht="15">
      <c r="A200" s="36"/>
      <c r="B200" s="141"/>
      <c r="C200" s="22"/>
      <c r="D200" s="22"/>
      <c r="E200" s="22"/>
      <c r="F200" s="22"/>
      <c r="G200" s="22"/>
      <c r="H200" s="22"/>
      <c r="I200" s="22"/>
      <c r="J200" s="22"/>
      <c r="FW200" s="36"/>
      <c r="FX200" s="36"/>
      <c r="FY200" s="36"/>
      <c r="FZ200" s="36"/>
      <c r="GA200" s="36"/>
      <c r="GB200" s="36"/>
      <c r="GC200" s="36"/>
      <c r="GD200" s="36"/>
      <c r="GE200" s="36"/>
      <c r="GF200" s="36"/>
      <c r="GG200" s="36"/>
      <c r="GH200" s="36"/>
      <c r="GI200" s="36"/>
      <c r="GJ200" s="36"/>
      <c r="GK200" s="36"/>
      <c r="GL200" s="36"/>
      <c r="GM200" s="36"/>
      <c r="GN200" s="36"/>
      <c r="GO200" s="36"/>
      <c r="GP200" s="36"/>
      <c r="GQ200" s="36"/>
      <c r="GR200" s="36"/>
      <c r="GS200" s="36"/>
      <c r="GT200" s="36"/>
      <c r="GU200" s="36"/>
      <c r="GV200" s="36"/>
      <c r="GW200" s="36"/>
      <c r="GX200" s="36"/>
      <c r="GY200" s="36"/>
      <c r="GZ200" s="36"/>
      <c r="HA200" s="36"/>
      <c r="HB200" s="36"/>
      <c r="HC200" s="36"/>
      <c r="HD200" s="36"/>
      <c r="HE200" s="36"/>
      <c r="HF200" s="36"/>
      <c r="HG200" s="36"/>
      <c r="HH200" s="36"/>
      <c r="HI200" s="36"/>
      <c r="HJ200" s="36"/>
      <c r="HK200" s="36"/>
      <c r="HL200" s="36"/>
      <c r="HM200" s="36"/>
      <c r="HN200" s="36"/>
      <c r="HO200" s="36"/>
      <c r="HP200" s="36"/>
      <c r="HQ200" s="36"/>
      <c r="HR200" s="36"/>
      <c r="HS200" s="36"/>
      <c r="HT200" s="36"/>
      <c r="HU200" s="36"/>
      <c r="HV200" s="36"/>
      <c r="HW200" s="36"/>
      <c r="HX200" s="36"/>
      <c r="HY200" s="36"/>
      <c r="HZ200" s="36"/>
      <c r="IA200" s="36"/>
      <c r="IB200" s="36"/>
      <c r="IC200" s="36"/>
      <c r="ID200" s="36"/>
      <c r="IE200" s="36"/>
      <c r="IF200" s="36"/>
      <c r="IG200" s="36"/>
      <c r="IH200" s="36"/>
      <c r="II200" s="36"/>
      <c r="IJ200" s="36"/>
      <c r="IK200" s="36"/>
      <c r="IL200" s="36"/>
      <c r="IM200" s="36"/>
      <c r="IN200" s="36"/>
      <c r="IO200" s="36"/>
      <c r="IP200" s="36"/>
      <c r="IQ200" s="36"/>
      <c r="IR200" s="36"/>
      <c r="IS200" s="36"/>
      <c r="IT200" s="36"/>
      <c r="IU200" s="36"/>
      <c r="IV200" s="36"/>
    </row>
    <row r="201" spans="1:256" s="35" customFormat="1" ht="15">
      <c r="A201" s="36"/>
      <c r="B201" s="141"/>
      <c r="C201" s="22"/>
      <c r="D201" s="22"/>
      <c r="E201" s="22"/>
      <c r="F201" s="22"/>
      <c r="G201" s="22"/>
      <c r="H201" s="22"/>
      <c r="I201" s="22"/>
      <c r="J201" s="22"/>
      <c r="FW201" s="36"/>
      <c r="FX201" s="36"/>
      <c r="FY201" s="36"/>
      <c r="FZ201" s="36"/>
      <c r="GA201" s="36"/>
      <c r="GB201" s="36"/>
      <c r="GC201" s="36"/>
      <c r="GD201" s="36"/>
      <c r="GE201" s="36"/>
      <c r="GF201" s="36"/>
      <c r="GG201" s="36"/>
      <c r="GH201" s="36"/>
      <c r="GI201" s="36"/>
      <c r="GJ201" s="36"/>
      <c r="GK201" s="36"/>
      <c r="GL201" s="36"/>
      <c r="GM201" s="36"/>
      <c r="GN201" s="36"/>
      <c r="GO201" s="36"/>
      <c r="GP201" s="36"/>
      <c r="GQ201" s="36"/>
      <c r="GR201" s="36"/>
      <c r="GS201" s="36"/>
      <c r="GT201" s="36"/>
      <c r="GU201" s="36"/>
      <c r="GV201" s="36"/>
      <c r="GW201" s="36"/>
      <c r="GX201" s="36"/>
      <c r="GY201" s="36"/>
      <c r="GZ201" s="36"/>
      <c r="HA201" s="36"/>
      <c r="HB201" s="36"/>
      <c r="HC201" s="36"/>
      <c r="HD201" s="36"/>
      <c r="HE201" s="36"/>
      <c r="HF201" s="36"/>
      <c r="HG201" s="36"/>
      <c r="HH201" s="36"/>
      <c r="HI201" s="36"/>
      <c r="HJ201" s="36"/>
      <c r="HK201" s="36"/>
      <c r="HL201" s="36"/>
      <c r="HM201" s="36"/>
      <c r="HN201" s="36"/>
      <c r="HO201" s="36"/>
      <c r="HP201" s="36"/>
      <c r="HQ201" s="36"/>
      <c r="HR201" s="36"/>
      <c r="HS201" s="36"/>
      <c r="HT201" s="36"/>
      <c r="HU201" s="36"/>
      <c r="HV201" s="36"/>
      <c r="HW201" s="36"/>
      <c r="HX201" s="36"/>
      <c r="HY201" s="36"/>
      <c r="HZ201" s="36"/>
      <c r="IA201" s="36"/>
      <c r="IB201" s="36"/>
      <c r="IC201" s="36"/>
      <c r="ID201" s="36"/>
      <c r="IE201" s="36"/>
      <c r="IF201" s="36"/>
      <c r="IG201" s="36"/>
      <c r="IH201" s="36"/>
      <c r="II201" s="36"/>
      <c r="IJ201" s="36"/>
      <c r="IK201" s="36"/>
      <c r="IL201" s="36"/>
      <c r="IM201" s="36"/>
      <c r="IN201" s="36"/>
      <c r="IO201" s="36"/>
      <c r="IP201" s="36"/>
      <c r="IQ201" s="36"/>
      <c r="IR201" s="36"/>
      <c r="IS201" s="36"/>
      <c r="IT201" s="36"/>
      <c r="IU201" s="36"/>
      <c r="IV201" s="36"/>
    </row>
    <row r="202" spans="1:256" s="35" customFormat="1" ht="15">
      <c r="A202" s="36"/>
      <c r="B202" s="141"/>
      <c r="C202" s="22"/>
      <c r="D202" s="22"/>
      <c r="E202" s="22"/>
      <c r="F202" s="22"/>
      <c r="G202" s="22"/>
      <c r="H202" s="22"/>
      <c r="I202" s="22"/>
      <c r="J202" s="22"/>
      <c r="FW202" s="36"/>
      <c r="FX202" s="36"/>
      <c r="FY202" s="36"/>
      <c r="FZ202" s="36"/>
      <c r="GA202" s="36"/>
      <c r="GB202" s="36"/>
      <c r="GC202" s="36"/>
      <c r="GD202" s="36"/>
      <c r="GE202" s="36"/>
      <c r="GF202" s="36"/>
      <c r="GG202" s="36"/>
      <c r="GH202" s="36"/>
      <c r="GI202" s="36"/>
      <c r="GJ202" s="36"/>
      <c r="GK202" s="36"/>
      <c r="GL202" s="36"/>
      <c r="GM202" s="36"/>
      <c r="GN202" s="36"/>
      <c r="GO202" s="36"/>
      <c r="GP202" s="36"/>
      <c r="GQ202" s="36"/>
      <c r="GR202" s="36"/>
      <c r="GS202" s="36"/>
      <c r="GT202" s="36"/>
      <c r="GU202" s="36"/>
      <c r="GV202" s="36"/>
      <c r="GW202" s="36"/>
      <c r="GX202" s="36"/>
      <c r="GY202" s="36"/>
      <c r="GZ202" s="36"/>
      <c r="HA202" s="36"/>
      <c r="HB202" s="36"/>
      <c r="HC202" s="36"/>
      <c r="HD202" s="36"/>
      <c r="HE202" s="36"/>
      <c r="HF202" s="36"/>
      <c r="HG202" s="36"/>
      <c r="HH202" s="36"/>
      <c r="HI202" s="36"/>
      <c r="HJ202" s="36"/>
      <c r="HK202" s="36"/>
      <c r="HL202" s="36"/>
      <c r="HM202" s="36"/>
      <c r="HN202" s="36"/>
      <c r="HO202" s="36"/>
      <c r="HP202" s="36"/>
      <c r="HQ202" s="36"/>
      <c r="HR202" s="36"/>
      <c r="HS202" s="36"/>
      <c r="HT202" s="36"/>
      <c r="HU202" s="36"/>
      <c r="HV202" s="36"/>
      <c r="HW202" s="36"/>
      <c r="HX202" s="36"/>
      <c r="HY202" s="36"/>
      <c r="HZ202" s="36"/>
      <c r="IA202" s="36"/>
      <c r="IB202" s="36"/>
      <c r="IC202" s="36"/>
      <c r="ID202" s="36"/>
      <c r="IE202" s="36"/>
      <c r="IF202" s="36"/>
      <c r="IG202" s="36"/>
      <c r="IH202" s="36"/>
      <c r="II202" s="36"/>
      <c r="IJ202" s="36"/>
      <c r="IK202" s="36"/>
      <c r="IL202" s="36"/>
      <c r="IM202" s="36"/>
      <c r="IN202" s="36"/>
      <c r="IO202" s="36"/>
      <c r="IP202" s="36"/>
      <c r="IQ202" s="36"/>
      <c r="IR202" s="36"/>
      <c r="IS202" s="36"/>
      <c r="IT202" s="36"/>
      <c r="IU202" s="36"/>
      <c r="IV202" s="36"/>
    </row>
    <row r="203" spans="1:256" s="35" customFormat="1" ht="15">
      <c r="A203" s="36"/>
      <c r="B203" s="141"/>
      <c r="C203" s="22"/>
      <c r="D203" s="22"/>
      <c r="E203" s="22"/>
      <c r="F203" s="22"/>
      <c r="G203" s="22"/>
      <c r="H203" s="22"/>
      <c r="I203" s="22"/>
      <c r="J203" s="22"/>
      <c r="FW203" s="36"/>
      <c r="FX203" s="36"/>
      <c r="FY203" s="36"/>
      <c r="FZ203" s="36"/>
      <c r="GA203" s="36"/>
      <c r="GB203" s="36"/>
      <c r="GC203" s="36"/>
      <c r="GD203" s="36"/>
      <c r="GE203" s="36"/>
      <c r="GF203" s="36"/>
      <c r="GG203" s="36"/>
      <c r="GH203" s="36"/>
      <c r="GI203" s="36"/>
      <c r="GJ203" s="36"/>
      <c r="GK203" s="36"/>
      <c r="GL203" s="36"/>
      <c r="GM203" s="36"/>
      <c r="GN203" s="36"/>
      <c r="GO203" s="36"/>
      <c r="GP203" s="36"/>
      <c r="GQ203" s="36"/>
      <c r="GR203" s="36"/>
      <c r="GS203" s="36"/>
      <c r="GT203" s="36"/>
      <c r="GU203" s="36"/>
      <c r="GV203" s="36"/>
      <c r="GW203" s="36"/>
      <c r="GX203" s="36"/>
      <c r="GY203" s="36"/>
      <c r="GZ203" s="36"/>
      <c r="HA203" s="36"/>
      <c r="HB203" s="36"/>
      <c r="HC203" s="36"/>
      <c r="HD203" s="36"/>
      <c r="HE203" s="36"/>
      <c r="HF203" s="36"/>
      <c r="HG203" s="36"/>
      <c r="HH203" s="36"/>
      <c r="HI203" s="36"/>
      <c r="HJ203" s="36"/>
      <c r="HK203" s="36"/>
      <c r="HL203" s="36"/>
      <c r="HM203" s="36"/>
      <c r="HN203" s="36"/>
      <c r="HO203" s="36"/>
      <c r="HP203" s="36"/>
      <c r="HQ203" s="36"/>
      <c r="HR203" s="36"/>
      <c r="HS203" s="36"/>
      <c r="HT203" s="36"/>
      <c r="HU203" s="36"/>
      <c r="HV203" s="36"/>
      <c r="HW203" s="36"/>
      <c r="HX203" s="36"/>
      <c r="HY203" s="36"/>
      <c r="HZ203" s="36"/>
      <c r="IA203" s="36"/>
      <c r="IB203" s="36"/>
      <c r="IC203" s="36"/>
      <c r="ID203" s="36"/>
      <c r="IE203" s="36"/>
      <c r="IF203" s="36"/>
      <c r="IG203" s="36"/>
      <c r="IH203" s="36"/>
      <c r="II203" s="36"/>
      <c r="IJ203" s="36"/>
      <c r="IK203" s="36"/>
      <c r="IL203" s="36"/>
      <c r="IM203" s="36"/>
      <c r="IN203" s="36"/>
      <c r="IO203" s="36"/>
      <c r="IP203" s="36"/>
      <c r="IQ203" s="36"/>
      <c r="IR203" s="36"/>
      <c r="IS203" s="36"/>
      <c r="IT203" s="36"/>
      <c r="IU203" s="36"/>
      <c r="IV203" s="36"/>
    </row>
    <row r="204" spans="1:256" s="35" customFormat="1" ht="15">
      <c r="A204" s="36"/>
      <c r="B204" s="141"/>
      <c r="C204" s="22"/>
      <c r="D204" s="22"/>
      <c r="E204" s="22"/>
      <c r="F204" s="22"/>
      <c r="G204" s="22"/>
      <c r="H204" s="22"/>
      <c r="I204" s="22"/>
      <c r="J204" s="22"/>
      <c r="FW204" s="36"/>
      <c r="FX204" s="36"/>
      <c r="FY204" s="36"/>
      <c r="FZ204" s="36"/>
      <c r="GA204" s="36"/>
      <c r="GB204" s="36"/>
      <c r="GC204" s="36"/>
      <c r="GD204" s="36"/>
      <c r="GE204" s="36"/>
      <c r="GF204" s="36"/>
      <c r="GG204" s="36"/>
      <c r="GH204" s="36"/>
      <c r="GI204" s="36"/>
      <c r="GJ204" s="36"/>
      <c r="GK204" s="36"/>
      <c r="GL204" s="36"/>
      <c r="GM204" s="36"/>
      <c r="GN204" s="36"/>
      <c r="GO204" s="36"/>
      <c r="GP204" s="36"/>
      <c r="GQ204" s="36"/>
      <c r="GR204" s="36"/>
      <c r="GS204" s="36"/>
      <c r="GT204" s="36"/>
      <c r="GU204" s="36"/>
      <c r="GV204" s="36"/>
      <c r="GW204" s="36"/>
      <c r="GX204" s="36"/>
      <c r="GY204" s="36"/>
      <c r="GZ204" s="36"/>
      <c r="HA204" s="36"/>
      <c r="HB204" s="36"/>
      <c r="HC204" s="36"/>
      <c r="HD204" s="36"/>
      <c r="HE204" s="36"/>
      <c r="HF204" s="36"/>
      <c r="HG204" s="36"/>
      <c r="HH204" s="36"/>
      <c r="HI204" s="36"/>
      <c r="HJ204" s="36"/>
      <c r="HK204" s="36"/>
      <c r="HL204" s="36"/>
      <c r="HM204" s="36"/>
      <c r="HN204" s="36"/>
      <c r="HO204" s="36"/>
      <c r="HP204" s="36"/>
      <c r="HQ204" s="36"/>
      <c r="HR204" s="36"/>
      <c r="HS204" s="36"/>
      <c r="HT204" s="36"/>
      <c r="HU204" s="36"/>
      <c r="HV204" s="36"/>
      <c r="HW204" s="36"/>
      <c r="HX204" s="36"/>
      <c r="HY204" s="36"/>
      <c r="HZ204" s="36"/>
      <c r="IA204" s="36"/>
      <c r="IB204" s="36"/>
      <c r="IC204" s="36"/>
      <c r="ID204" s="36"/>
      <c r="IE204" s="36"/>
      <c r="IF204" s="36"/>
      <c r="IG204" s="36"/>
      <c r="IH204" s="36"/>
      <c r="II204" s="36"/>
      <c r="IJ204" s="36"/>
      <c r="IK204" s="36"/>
      <c r="IL204" s="36"/>
      <c r="IM204" s="36"/>
      <c r="IN204" s="36"/>
      <c r="IO204" s="36"/>
      <c r="IP204" s="36"/>
      <c r="IQ204" s="36"/>
      <c r="IR204" s="36"/>
      <c r="IS204" s="36"/>
      <c r="IT204" s="36"/>
      <c r="IU204" s="36"/>
      <c r="IV204" s="36"/>
    </row>
    <row r="205" spans="1:256" s="35" customFormat="1" ht="15">
      <c r="A205" s="36"/>
      <c r="B205" s="141"/>
      <c r="C205" s="22"/>
      <c r="D205" s="22"/>
      <c r="E205" s="22"/>
      <c r="F205" s="22"/>
      <c r="G205" s="22"/>
      <c r="H205" s="22"/>
      <c r="I205" s="22"/>
      <c r="J205" s="22"/>
      <c r="FW205" s="36"/>
      <c r="FX205" s="36"/>
      <c r="FY205" s="36"/>
      <c r="FZ205" s="36"/>
      <c r="GA205" s="36"/>
      <c r="GB205" s="36"/>
      <c r="GC205" s="36"/>
      <c r="GD205" s="36"/>
      <c r="GE205" s="36"/>
      <c r="GF205" s="36"/>
      <c r="GG205" s="36"/>
      <c r="GH205" s="36"/>
      <c r="GI205" s="36"/>
      <c r="GJ205" s="36"/>
      <c r="GK205" s="36"/>
      <c r="GL205" s="36"/>
      <c r="GM205" s="36"/>
      <c r="GN205" s="36"/>
      <c r="GO205" s="36"/>
      <c r="GP205" s="36"/>
      <c r="GQ205" s="36"/>
      <c r="GR205" s="36"/>
      <c r="GS205" s="36"/>
      <c r="GT205" s="36"/>
      <c r="GU205" s="36"/>
      <c r="GV205" s="36"/>
      <c r="GW205" s="36"/>
      <c r="GX205" s="36"/>
      <c r="GY205" s="36"/>
      <c r="GZ205" s="36"/>
      <c r="HA205" s="36"/>
      <c r="HB205" s="36"/>
      <c r="HC205" s="36"/>
      <c r="HD205" s="36"/>
      <c r="HE205" s="36"/>
      <c r="HF205" s="36"/>
      <c r="HG205" s="36"/>
      <c r="HH205" s="36"/>
      <c r="HI205" s="36"/>
      <c r="HJ205" s="36"/>
      <c r="HK205" s="36"/>
      <c r="HL205" s="36"/>
      <c r="HM205" s="36"/>
      <c r="HN205" s="36"/>
      <c r="HO205" s="36"/>
      <c r="HP205" s="36"/>
      <c r="HQ205" s="36"/>
      <c r="HR205" s="36"/>
      <c r="HS205" s="36"/>
      <c r="HT205" s="36"/>
      <c r="HU205" s="36"/>
      <c r="HV205" s="36"/>
      <c r="HW205" s="36"/>
      <c r="HX205" s="36"/>
      <c r="HY205" s="36"/>
      <c r="HZ205" s="36"/>
      <c r="IA205" s="36"/>
      <c r="IB205" s="36"/>
      <c r="IC205" s="36"/>
      <c r="ID205" s="36"/>
      <c r="IE205" s="36"/>
      <c r="IF205" s="36"/>
      <c r="IG205" s="36"/>
      <c r="IH205" s="36"/>
      <c r="II205" s="36"/>
      <c r="IJ205" s="36"/>
      <c r="IK205" s="36"/>
      <c r="IL205" s="36"/>
      <c r="IM205" s="36"/>
      <c r="IN205" s="36"/>
      <c r="IO205" s="36"/>
      <c r="IP205" s="36"/>
      <c r="IQ205" s="36"/>
      <c r="IR205" s="36"/>
      <c r="IS205" s="36"/>
      <c r="IT205" s="36"/>
      <c r="IU205" s="36"/>
      <c r="IV205" s="36"/>
    </row>
    <row r="206" spans="1:256" s="35" customFormat="1" ht="15">
      <c r="A206" s="36"/>
      <c r="B206" s="141"/>
      <c r="C206" s="22"/>
      <c r="D206" s="22"/>
      <c r="E206" s="22"/>
      <c r="F206" s="22"/>
      <c r="G206" s="22"/>
      <c r="H206" s="22"/>
      <c r="I206" s="22"/>
      <c r="J206" s="22"/>
      <c r="FW206" s="36"/>
      <c r="FX206" s="36"/>
      <c r="FY206" s="36"/>
      <c r="FZ206" s="36"/>
      <c r="GA206" s="36"/>
      <c r="GB206" s="36"/>
      <c r="GC206" s="36"/>
      <c r="GD206" s="36"/>
      <c r="GE206" s="36"/>
      <c r="GF206" s="36"/>
      <c r="GG206" s="36"/>
      <c r="GH206" s="36"/>
      <c r="GI206" s="36"/>
      <c r="GJ206" s="36"/>
      <c r="GK206" s="36"/>
      <c r="GL206" s="36"/>
      <c r="GM206" s="36"/>
      <c r="GN206" s="36"/>
      <c r="GO206" s="36"/>
      <c r="GP206" s="36"/>
      <c r="GQ206" s="36"/>
      <c r="GR206" s="36"/>
      <c r="GS206" s="36"/>
      <c r="GT206" s="36"/>
      <c r="GU206" s="36"/>
      <c r="GV206" s="36"/>
      <c r="GW206" s="36"/>
      <c r="GX206" s="36"/>
      <c r="GY206" s="36"/>
      <c r="GZ206" s="36"/>
      <c r="HA206" s="36"/>
      <c r="HB206" s="36"/>
      <c r="HC206" s="36"/>
      <c r="HD206" s="36"/>
      <c r="HE206" s="36"/>
      <c r="HF206" s="36"/>
      <c r="HG206" s="36"/>
      <c r="HH206" s="36"/>
      <c r="HI206" s="36"/>
      <c r="HJ206" s="36"/>
      <c r="HK206" s="36"/>
      <c r="HL206" s="36"/>
      <c r="HM206" s="36"/>
      <c r="HN206" s="36"/>
      <c r="HO206" s="36"/>
      <c r="HP206" s="36"/>
      <c r="HQ206" s="36"/>
      <c r="HR206" s="36"/>
      <c r="HS206" s="36"/>
      <c r="HT206" s="36"/>
      <c r="HU206" s="36"/>
      <c r="HV206" s="36"/>
      <c r="HW206" s="36"/>
      <c r="HX206" s="36"/>
      <c r="HY206" s="36"/>
      <c r="HZ206" s="36"/>
      <c r="IA206" s="36"/>
      <c r="IB206" s="36"/>
      <c r="IC206" s="36"/>
      <c r="ID206" s="36"/>
      <c r="IE206" s="36"/>
      <c r="IF206" s="36"/>
      <c r="IG206" s="36"/>
      <c r="IH206" s="36"/>
      <c r="II206" s="36"/>
      <c r="IJ206" s="36"/>
      <c r="IK206" s="36"/>
      <c r="IL206" s="36"/>
      <c r="IM206" s="36"/>
      <c r="IN206" s="36"/>
      <c r="IO206" s="36"/>
      <c r="IP206" s="36"/>
      <c r="IQ206" s="36"/>
      <c r="IR206" s="36"/>
      <c r="IS206" s="36"/>
      <c r="IT206" s="36"/>
      <c r="IU206" s="36"/>
      <c r="IV206" s="36"/>
    </row>
    <row r="207" spans="1:256" s="35" customFormat="1" ht="15">
      <c r="A207" s="36"/>
      <c r="B207" s="141"/>
      <c r="C207" s="36"/>
      <c r="D207" s="36"/>
      <c r="E207" s="36"/>
      <c r="F207" s="36"/>
      <c r="G207" s="36"/>
      <c r="H207" s="36"/>
      <c r="I207" s="36"/>
      <c r="J207" s="36"/>
      <c r="FW207" s="36"/>
      <c r="FX207" s="36"/>
      <c r="FY207" s="36"/>
      <c r="FZ207" s="36"/>
      <c r="GA207" s="36"/>
      <c r="GB207" s="36"/>
      <c r="GC207" s="36"/>
      <c r="GD207" s="36"/>
      <c r="GE207" s="36"/>
      <c r="GF207" s="36"/>
      <c r="GG207" s="36"/>
      <c r="GH207" s="36"/>
      <c r="GI207" s="36"/>
      <c r="GJ207" s="36"/>
      <c r="GK207" s="36"/>
      <c r="GL207" s="36"/>
      <c r="GM207" s="36"/>
      <c r="GN207" s="36"/>
      <c r="GO207" s="36"/>
      <c r="GP207" s="36"/>
      <c r="GQ207" s="36"/>
      <c r="GR207" s="36"/>
      <c r="GS207" s="36"/>
      <c r="GT207" s="36"/>
      <c r="GU207" s="36"/>
      <c r="GV207" s="36"/>
      <c r="GW207" s="36"/>
      <c r="GX207" s="36"/>
      <c r="GY207" s="36"/>
      <c r="GZ207" s="36"/>
      <c r="HA207" s="36"/>
      <c r="HB207" s="36"/>
      <c r="HC207" s="36"/>
      <c r="HD207" s="36"/>
      <c r="HE207" s="36"/>
      <c r="HF207" s="36"/>
      <c r="HG207" s="36"/>
      <c r="HH207" s="36"/>
      <c r="HI207" s="36"/>
      <c r="HJ207" s="36"/>
      <c r="HK207" s="36"/>
      <c r="HL207" s="36"/>
      <c r="HM207" s="36"/>
      <c r="HN207" s="36"/>
      <c r="HO207" s="36"/>
      <c r="HP207" s="36"/>
      <c r="HQ207" s="36"/>
      <c r="HR207" s="36"/>
      <c r="HS207" s="36"/>
      <c r="HT207" s="36"/>
      <c r="HU207" s="36"/>
      <c r="HV207" s="36"/>
      <c r="HW207" s="36"/>
      <c r="HX207" s="36"/>
      <c r="HY207" s="36"/>
      <c r="HZ207" s="36"/>
      <c r="IA207" s="36"/>
      <c r="IB207" s="36"/>
      <c r="IC207" s="36"/>
      <c r="ID207" s="36"/>
      <c r="IE207" s="36"/>
      <c r="IF207" s="36"/>
      <c r="IG207" s="36"/>
      <c r="IH207" s="36"/>
      <c r="II207" s="36"/>
      <c r="IJ207" s="36"/>
      <c r="IK207" s="36"/>
      <c r="IL207" s="36"/>
      <c r="IM207" s="36"/>
      <c r="IN207" s="36"/>
      <c r="IO207" s="36"/>
      <c r="IP207" s="36"/>
      <c r="IQ207" s="36"/>
      <c r="IR207" s="36"/>
      <c r="IS207" s="36"/>
      <c r="IT207" s="36"/>
      <c r="IU207" s="36"/>
      <c r="IV207" s="36"/>
    </row>
    <row r="208" spans="1:256" s="35" customFormat="1" ht="15">
      <c r="A208" s="36"/>
      <c r="B208" s="141"/>
      <c r="C208" s="36"/>
      <c r="D208" s="36"/>
      <c r="E208" s="36"/>
      <c r="F208" s="36"/>
      <c r="G208" s="36"/>
      <c r="H208" s="36"/>
      <c r="I208" s="36"/>
      <c r="J208" s="36"/>
      <c r="FW208" s="36"/>
      <c r="FX208" s="36"/>
      <c r="FY208" s="36"/>
      <c r="FZ208" s="36"/>
      <c r="GA208" s="36"/>
      <c r="GB208" s="36"/>
      <c r="GC208" s="36"/>
      <c r="GD208" s="36"/>
      <c r="GE208" s="36"/>
      <c r="GF208" s="36"/>
      <c r="GG208" s="36"/>
      <c r="GH208" s="36"/>
      <c r="GI208" s="36"/>
      <c r="GJ208" s="36"/>
      <c r="GK208" s="36"/>
      <c r="GL208" s="36"/>
      <c r="GM208" s="36"/>
      <c r="GN208" s="36"/>
      <c r="GO208" s="36"/>
      <c r="GP208" s="36"/>
      <c r="GQ208" s="36"/>
      <c r="GR208" s="36"/>
      <c r="GS208" s="36"/>
      <c r="GT208" s="36"/>
      <c r="GU208" s="36"/>
      <c r="GV208" s="36"/>
      <c r="GW208" s="36"/>
      <c r="GX208" s="36"/>
      <c r="GY208" s="36"/>
      <c r="GZ208" s="36"/>
      <c r="HA208" s="36"/>
      <c r="HB208" s="36"/>
      <c r="HC208" s="36"/>
      <c r="HD208" s="36"/>
      <c r="HE208" s="36"/>
      <c r="HF208" s="36"/>
      <c r="HG208" s="36"/>
      <c r="HH208" s="36"/>
      <c r="HI208" s="36"/>
      <c r="HJ208" s="36"/>
      <c r="HK208" s="36"/>
      <c r="HL208" s="36"/>
      <c r="HM208" s="36"/>
      <c r="HN208" s="36"/>
      <c r="HO208" s="36"/>
      <c r="HP208" s="36"/>
      <c r="HQ208" s="36"/>
      <c r="HR208" s="36"/>
      <c r="HS208" s="36"/>
      <c r="HT208" s="36"/>
      <c r="HU208" s="36"/>
      <c r="HV208" s="36"/>
      <c r="HW208" s="36"/>
      <c r="HX208" s="36"/>
      <c r="HY208" s="36"/>
      <c r="HZ208" s="36"/>
      <c r="IA208" s="36"/>
      <c r="IB208" s="36"/>
      <c r="IC208" s="36"/>
      <c r="ID208" s="36"/>
      <c r="IE208" s="36"/>
      <c r="IF208" s="36"/>
      <c r="IG208" s="36"/>
      <c r="IH208" s="36"/>
      <c r="II208" s="36"/>
      <c r="IJ208" s="36"/>
      <c r="IK208" s="36"/>
      <c r="IL208" s="36"/>
      <c r="IM208" s="36"/>
      <c r="IN208" s="36"/>
      <c r="IO208" s="36"/>
      <c r="IP208" s="36"/>
      <c r="IQ208" s="36"/>
      <c r="IR208" s="36"/>
      <c r="IS208" s="36"/>
      <c r="IT208" s="36"/>
      <c r="IU208" s="36"/>
      <c r="IV208" s="36"/>
    </row>
    <row r="209" spans="1:256" s="35" customFormat="1" ht="15">
      <c r="A209" s="36"/>
      <c r="B209" s="141"/>
      <c r="C209" s="36"/>
      <c r="D209" s="36"/>
      <c r="E209" s="36"/>
      <c r="F209" s="36"/>
      <c r="G209" s="36"/>
      <c r="H209" s="36"/>
      <c r="I209" s="36"/>
      <c r="J209" s="36"/>
      <c r="FW209" s="36"/>
      <c r="FX209" s="36"/>
      <c r="FY209" s="36"/>
      <c r="FZ209" s="36"/>
      <c r="GA209" s="36"/>
      <c r="GB209" s="36"/>
      <c r="GC209" s="36"/>
      <c r="GD209" s="36"/>
      <c r="GE209" s="36"/>
      <c r="GF209" s="36"/>
      <c r="GG209" s="36"/>
      <c r="GH209" s="36"/>
      <c r="GI209" s="36"/>
      <c r="GJ209" s="36"/>
      <c r="GK209" s="36"/>
      <c r="GL209" s="36"/>
      <c r="GM209" s="36"/>
      <c r="GN209" s="36"/>
      <c r="GO209" s="36"/>
      <c r="GP209" s="36"/>
      <c r="GQ209" s="36"/>
      <c r="GR209" s="36"/>
      <c r="GS209" s="36"/>
      <c r="GT209" s="36"/>
      <c r="GU209" s="36"/>
      <c r="GV209" s="36"/>
      <c r="GW209" s="36"/>
      <c r="GX209" s="36"/>
      <c r="GY209" s="36"/>
      <c r="GZ209" s="36"/>
      <c r="HA209" s="36"/>
      <c r="HB209" s="36"/>
      <c r="HC209" s="36"/>
      <c r="HD209" s="36"/>
      <c r="HE209" s="36"/>
      <c r="HF209" s="36"/>
      <c r="HG209" s="36"/>
      <c r="HH209" s="36"/>
      <c r="HI209" s="36"/>
      <c r="HJ209" s="36"/>
      <c r="HK209" s="36"/>
      <c r="HL209" s="36"/>
      <c r="HM209" s="36"/>
      <c r="HN209" s="36"/>
      <c r="HO209" s="36"/>
      <c r="HP209" s="36"/>
      <c r="HQ209" s="36"/>
      <c r="HR209" s="36"/>
      <c r="HS209" s="36"/>
      <c r="HT209" s="36"/>
      <c r="HU209" s="36"/>
      <c r="HV209" s="36"/>
      <c r="HW209" s="36"/>
      <c r="HX209" s="36"/>
      <c r="HY209" s="36"/>
      <c r="HZ209" s="36"/>
      <c r="IA209" s="36"/>
      <c r="IB209" s="36"/>
      <c r="IC209" s="36"/>
      <c r="ID209" s="36"/>
      <c r="IE209" s="36"/>
      <c r="IF209" s="36"/>
      <c r="IG209" s="36"/>
      <c r="IH209" s="36"/>
      <c r="II209" s="36"/>
      <c r="IJ209" s="36"/>
      <c r="IK209" s="36"/>
      <c r="IL209" s="36"/>
      <c r="IM209" s="36"/>
      <c r="IN209" s="36"/>
      <c r="IO209" s="36"/>
      <c r="IP209" s="36"/>
      <c r="IQ209" s="36"/>
      <c r="IR209" s="36"/>
      <c r="IS209" s="36"/>
      <c r="IT209" s="36"/>
      <c r="IU209" s="36"/>
      <c r="IV209" s="36"/>
    </row>
    <row r="210" spans="1:256" s="35" customFormat="1" ht="15">
      <c r="A210" s="36"/>
      <c r="B210" s="141"/>
      <c r="C210" s="36"/>
      <c r="D210" s="36"/>
      <c r="E210" s="36"/>
      <c r="F210" s="36"/>
      <c r="G210" s="36"/>
      <c r="H210" s="36"/>
      <c r="I210" s="36"/>
      <c r="J210" s="36"/>
      <c r="FW210" s="36"/>
      <c r="FX210" s="36"/>
      <c r="FY210" s="36"/>
      <c r="FZ210" s="36"/>
      <c r="GA210" s="36"/>
      <c r="GB210" s="36"/>
      <c r="GC210" s="36"/>
      <c r="GD210" s="36"/>
      <c r="GE210" s="36"/>
      <c r="GF210" s="36"/>
      <c r="GG210" s="36"/>
      <c r="GH210" s="36"/>
      <c r="GI210" s="36"/>
      <c r="GJ210" s="36"/>
      <c r="GK210" s="36"/>
      <c r="GL210" s="36"/>
      <c r="GM210" s="36"/>
      <c r="GN210" s="36"/>
      <c r="GO210" s="36"/>
      <c r="GP210" s="36"/>
      <c r="GQ210" s="36"/>
      <c r="GR210" s="36"/>
      <c r="GS210" s="36"/>
      <c r="GT210" s="36"/>
      <c r="GU210" s="36"/>
      <c r="GV210" s="36"/>
      <c r="GW210" s="36"/>
      <c r="GX210" s="36"/>
      <c r="GY210" s="36"/>
      <c r="GZ210" s="36"/>
      <c r="HA210" s="36"/>
      <c r="HB210" s="36"/>
      <c r="HC210" s="36"/>
      <c r="HD210" s="36"/>
      <c r="HE210" s="36"/>
      <c r="HF210" s="36"/>
      <c r="HG210" s="36"/>
      <c r="HH210" s="36"/>
      <c r="HI210" s="36"/>
      <c r="HJ210" s="36"/>
      <c r="HK210" s="36"/>
      <c r="HL210" s="36"/>
      <c r="HM210" s="36"/>
      <c r="HN210" s="36"/>
      <c r="HO210" s="36"/>
      <c r="HP210" s="36"/>
      <c r="HQ210" s="36"/>
      <c r="HR210" s="36"/>
      <c r="HS210" s="36"/>
      <c r="HT210" s="36"/>
      <c r="HU210" s="36"/>
      <c r="HV210" s="36"/>
      <c r="HW210" s="36"/>
      <c r="HX210" s="36"/>
      <c r="HY210" s="36"/>
      <c r="HZ210" s="36"/>
      <c r="IA210" s="36"/>
      <c r="IB210" s="36"/>
      <c r="IC210" s="36"/>
      <c r="ID210" s="36"/>
      <c r="IE210" s="36"/>
      <c r="IF210" s="36"/>
      <c r="IG210" s="36"/>
      <c r="IH210" s="36"/>
      <c r="II210" s="36"/>
      <c r="IJ210" s="36"/>
      <c r="IK210" s="36"/>
      <c r="IL210" s="36"/>
      <c r="IM210" s="36"/>
      <c r="IN210" s="36"/>
      <c r="IO210" s="36"/>
      <c r="IP210" s="36"/>
      <c r="IQ210" s="36"/>
      <c r="IR210" s="36"/>
      <c r="IS210" s="36"/>
      <c r="IT210" s="36"/>
      <c r="IU210" s="36"/>
      <c r="IV210" s="36"/>
    </row>
    <row r="211" spans="1:256" s="35" customFormat="1" ht="15">
      <c r="A211" s="36"/>
      <c r="B211" s="141"/>
      <c r="C211" s="36"/>
      <c r="D211" s="36"/>
      <c r="E211" s="36"/>
      <c r="F211" s="36"/>
      <c r="G211" s="36"/>
      <c r="H211" s="36"/>
      <c r="I211" s="36"/>
      <c r="J211" s="36"/>
      <c r="FW211" s="36"/>
      <c r="FX211" s="36"/>
      <c r="FY211" s="36"/>
      <c r="FZ211" s="36"/>
      <c r="GA211" s="36"/>
      <c r="GB211" s="36"/>
      <c r="GC211" s="36"/>
      <c r="GD211" s="36"/>
      <c r="GE211" s="36"/>
      <c r="GF211" s="36"/>
      <c r="GG211" s="36"/>
      <c r="GH211" s="36"/>
      <c r="GI211" s="36"/>
      <c r="GJ211" s="36"/>
      <c r="GK211" s="36"/>
      <c r="GL211" s="36"/>
      <c r="GM211" s="36"/>
      <c r="GN211" s="36"/>
      <c r="GO211" s="36"/>
      <c r="GP211" s="36"/>
      <c r="GQ211" s="36"/>
      <c r="GR211" s="36"/>
      <c r="GS211" s="36"/>
      <c r="GT211" s="36"/>
      <c r="GU211" s="36"/>
      <c r="GV211" s="36"/>
      <c r="GW211" s="36"/>
      <c r="GX211" s="36"/>
      <c r="GY211" s="36"/>
      <c r="GZ211" s="36"/>
      <c r="HA211" s="36"/>
      <c r="HB211" s="36"/>
      <c r="HC211" s="36"/>
      <c r="HD211" s="36"/>
      <c r="HE211" s="36"/>
      <c r="HF211" s="36"/>
      <c r="HG211" s="36"/>
      <c r="HH211" s="36"/>
      <c r="HI211" s="36"/>
      <c r="HJ211" s="36"/>
      <c r="HK211" s="36"/>
      <c r="HL211" s="36"/>
      <c r="HM211" s="36"/>
      <c r="HN211" s="36"/>
      <c r="HO211" s="36"/>
      <c r="HP211" s="36"/>
      <c r="HQ211" s="36"/>
      <c r="HR211" s="36"/>
      <c r="HS211" s="36"/>
      <c r="HT211" s="36"/>
      <c r="HU211" s="36"/>
      <c r="HV211" s="36"/>
      <c r="HW211" s="36"/>
      <c r="HX211" s="36"/>
      <c r="HY211" s="36"/>
      <c r="HZ211" s="36"/>
      <c r="IA211" s="36"/>
      <c r="IB211" s="36"/>
      <c r="IC211" s="36"/>
      <c r="ID211" s="36"/>
      <c r="IE211" s="36"/>
      <c r="IF211" s="36"/>
      <c r="IG211" s="36"/>
      <c r="IH211" s="36"/>
      <c r="II211" s="36"/>
      <c r="IJ211" s="36"/>
      <c r="IK211" s="36"/>
      <c r="IL211" s="36"/>
      <c r="IM211" s="36"/>
      <c r="IN211" s="36"/>
      <c r="IO211" s="36"/>
      <c r="IP211" s="36"/>
      <c r="IQ211" s="36"/>
      <c r="IR211" s="36"/>
      <c r="IS211" s="36"/>
      <c r="IT211" s="36"/>
      <c r="IU211" s="36"/>
      <c r="IV211" s="36"/>
    </row>
    <row r="212" spans="1:256" s="35" customFormat="1" ht="15">
      <c r="A212" s="36"/>
      <c r="B212" s="141"/>
      <c r="C212" s="36"/>
      <c r="D212" s="36"/>
      <c r="E212" s="36"/>
      <c r="F212" s="36"/>
      <c r="G212" s="36"/>
      <c r="H212" s="36"/>
      <c r="I212" s="36"/>
      <c r="J212" s="36"/>
      <c r="FW212" s="36"/>
      <c r="FX212" s="36"/>
      <c r="FY212" s="36"/>
      <c r="FZ212" s="36"/>
      <c r="GA212" s="36"/>
      <c r="GB212" s="36"/>
      <c r="GC212" s="36"/>
      <c r="GD212" s="36"/>
      <c r="GE212" s="36"/>
      <c r="GF212" s="36"/>
      <c r="GG212" s="36"/>
      <c r="GH212" s="36"/>
      <c r="GI212" s="36"/>
      <c r="GJ212" s="36"/>
      <c r="GK212" s="36"/>
      <c r="GL212" s="36"/>
      <c r="GM212" s="36"/>
      <c r="GN212" s="36"/>
      <c r="GO212" s="36"/>
      <c r="GP212" s="36"/>
      <c r="GQ212" s="36"/>
      <c r="GR212" s="36"/>
      <c r="GS212" s="36"/>
      <c r="GT212" s="36"/>
      <c r="GU212" s="36"/>
      <c r="GV212" s="36"/>
      <c r="GW212" s="36"/>
      <c r="GX212" s="36"/>
      <c r="GY212" s="36"/>
      <c r="GZ212" s="36"/>
      <c r="HA212" s="36"/>
      <c r="HB212" s="36"/>
      <c r="HC212" s="36"/>
      <c r="HD212" s="36"/>
      <c r="HE212" s="36"/>
      <c r="HF212" s="36"/>
      <c r="HG212" s="36"/>
      <c r="HH212" s="36"/>
      <c r="HI212" s="36"/>
      <c r="HJ212" s="36"/>
      <c r="HK212" s="36"/>
      <c r="HL212" s="36"/>
      <c r="HM212" s="36"/>
      <c r="HN212" s="36"/>
      <c r="HO212" s="36"/>
      <c r="HP212" s="36"/>
      <c r="HQ212" s="36"/>
      <c r="HR212" s="36"/>
      <c r="HS212" s="36"/>
      <c r="HT212" s="36"/>
      <c r="HU212" s="36"/>
      <c r="HV212" s="36"/>
      <c r="HW212" s="36"/>
      <c r="HX212" s="36"/>
      <c r="HY212" s="36"/>
      <c r="HZ212" s="36"/>
      <c r="IA212" s="36"/>
      <c r="IB212" s="36"/>
      <c r="IC212" s="36"/>
      <c r="ID212" s="36"/>
      <c r="IE212" s="36"/>
      <c r="IF212" s="36"/>
      <c r="IG212" s="36"/>
      <c r="IH212" s="36"/>
      <c r="II212" s="36"/>
      <c r="IJ212" s="36"/>
      <c r="IK212" s="36"/>
      <c r="IL212" s="36"/>
      <c r="IM212" s="36"/>
      <c r="IN212" s="36"/>
      <c r="IO212" s="36"/>
      <c r="IP212" s="36"/>
      <c r="IQ212" s="36"/>
      <c r="IR212" s="36"/>
      <c r="IS212" s="36"/>
      <c r="IT212" s="36"/>
      <c r="IU212" s="36"/>
      <c r="IV212" s="36"/>
    </row>
    <row r="213" spans="1:256" s="35" customFormat="1" ht="15">
      <c r="A213" s="36"/>
      <c r="B213" s="141"/>
      <c r="C213" s="36"/>
      <c r="D213" s="36"/>
      <c r="E213" s="36"/>
      <c r="F213" s="36"/>
      <c r="G213" s="36"/>
      <c r="H213" s="36"/>
      <c r="I213" s="36"/>
      <c r="J213" s="36"/>
      <c r="FW213" s="36"/>
      <c r="FX213" s="36"/>
      <c r="FY213" s="36"/>
      <c r="FZ213" s="36"/>
      <c r="GA213" s="36"/>
      <c r="GB213" s="36"/>
      <c r="GC213" s="36"/>
      <c r="GD213" s="36"/>
      <c r="GE213" s="36"/>
      <c r="GF213" s="36"/>
      <c r="GG213" s="36"/>
      <c r="GH213" s="36"/>
      <c r="GI213" s="36"/>
      <c r="GJ213" s="36"/>
      <c r="GK213" s="36"/>
      <c r="GL213" s="36"/>
      <c r="GM213" s="36"/>
      <c r="GN213" s="36"/>
      <c r="GO213" s="36"/>
      <c r="GP213" s="36"/>
      <c r="GQ213" s="36"/>
      <c r="GR213" s="36"/>
      <c r="GS213" s="36"/>
      <c r="GT213" s="36"/>
      <c r="GU213" s="36"/>
      <c r="GV213" s="36"/>
      <c r="GW213" s="36"/>
      <c r="GX213" s="36"/>
      <c r="GY213" s="36"/>
      <c r="GZ213" s="36"/>
      <c r="HA213" s="36"/>
      <c r="HB213" s="36"/>
      <c r="HC213" s="36"/>
      <c r="HD213" s="36"/>
      <c r="HE213" s="36"/>
      <c r="HF213" s="36"/>
      <c r="HG213" s="36"/>
      <c r="HH213" s="36"/>
      <c r="HI213" s="36"/>
      <c r="HJ213" s="36"/>
      <c r="HK213" s="36"/>
      <c r="HL213" s="36"/>
      <c r="HM213" s="36"/>
      <c r="HN213" s="36"/>
      <c r="HO213" s="36"/>
      <c r="HP213" s="36"/>
      <c r="HQ213" s="36"/>
      <c r="HR213" s="36"/>
      <c r="HS213" s="36"/>
      <c r="HT213" s="36"/>
      <c r="HU213" s="36"/>
      <c r="HV213" s="36"/>
      <c r="HW213" s="36"/>
      <c r="HX213" s="36"/>
      <c r="HY213" s="36"/>
      <c r="HZ213" s="36"/>
      <c r="IA213" s="36"/>
      <c r="IB213" s="36"/>
      <c r="IC213" s="36"/>
      <c r="ID213" s="36"/>
      <c r="IE213" s="36"/>
      <c r="IF213" s="36"/>
      <c r="IG213" s="36"/>
      <c r="IH213" s="36"/>
      <c r="II213" s="36"/>
      <c r="IJ213" s="36"/>
      <c r="IK213" s="36"/>
      <c r="IL213" s="36"/>
      <c r="IM213" s="36"/>
      <c r="IN213" s="36"/>
      <c r="IO213" s="36"/>
      <c r="IP213" s="36"/>
      <c r="IQ213" s="36"/>
      <c r="IR213" s="36"/>
      <c r="IS213" s="36"/>
      <c r="IT213" s="36"/>
      <c r="IU213" s="36"/>
      <c r="IV213" s="36"/>
    </row>
    <row r="214" spans="1:256" s="35" customFormat="1" ht="15">
      <c r="A214" s="36"/>
      <c r="B214" s="141"/>
      <c r="C214" s="36"/>
      <c r="D214" s="36"/>
      <c r="E214" s="36"/>
      <c r="F214" s="36"/>
      <c r="G214" s="36"/>
      <c r="H214" s="36"/>
      <c r="I214" s="36"/>
      <c r="J214" s="36"/>
      <c r="FW214" s="36"/>
      <c r="FX214" s="36"/>
      <c r="FY214" s="36"/>
      <c r="FZ214" s="36"/>
      <c r="GA214" s="36"/>
      <c r="GB214" s="36"/>
      <c r="GC214" s="36"/>
      <c r="GD214" s="36"/>
      <c r="GE214" s="36"/>
      <c r="GF214" s="36"/>
      <c r="GG214" s="36"/>
      <c r="GH214" s="36"/>
      <c r="GI214" s="36"/>
      <c r="GJ214" s="36"/>
      <c r="GK214" s="36"/>
      <c r="GL214" s="36"/>
      <c r="GM214" s="36"/>
      <c r="GN214" s="36"/>
      <c r="GO214" s="36"/>
      <c r="GP214" s="36"/>
      <c r="GQ214" s="36"/>
      <c r="GR214" s="36"/>
      <c r="GS214" s="36"/>
      <c r="GT214" s="36"/>
      <c r="GU214" s="36"/>
      <c r="GV214" s="36"/>
      <c r="GW214" s="36"/>
      <c r="GX214" s="36"/>
      <c r="GY214" s="36"/>
      <c r="GZ214" s="36"/>
      <c r="HA214" s="36"/>
      <c r="HB214" s="36"/>
      <c r="HC214" s="36"/>
      <c r="HD214" s="36"/>
      <c r="HE214" s="36"/>
      <c r="HF214" s="36"/>
      <c r="HG214" s="36"/>
      <c r="HH214" s="36"/>
      <c r="HI214" s="36"/>
      <c r="HJ214" s="36"/>
      <c r="HK214" s="36"/>
      <c r="HL214" s="36"/>
      <c r="HM214" s="36"/>
      <c r="HN214" s="36"/>
      <c r="HO214" s="36"/>
      <c r="HP214" s="36"/>
      <c r="HQ214" s="36"/>
      <c r="HR214" s="36"/>
      <c r="HS214" s="36"/>
      <c r="HT214" s="36"/>
      <c r="HU214" s="36"/>
      <c r="HV214" s="36"/>
      <c r="HW214" s="36"/>
      <c r="HX214" s="36"/>
      <c r="HY214" s="36"/>
      <c r="HZ214" s="36"/>
      <c r="IA214" s="36"/>
      <c r="IB214" s="36"/>
      <c r="IC214" s="36"/>
      <c r="ID214" s="36"/>
      <c r="IE214" s="36"/>
      <c r="IF214" s="36"/>
      <c r="IG214" s="36"/>
      <c r="IH214" s="36"/>
      <c r="II214" s="36"/>
      <c r="IJ214" s="36"/>
      <c r="IK214" s="36"/>
      <c r="IL214" s="36"/>
      <c r="IM214" s="36"/>
      <c r="IN214" s="36"/>
      <c r="IO214" s="36"/>
      <c r="IP214" s="36"/>
      <c r="IQ214" s="36"/>
      <c r="IR214" s="36"/>
      <c r="IS214" s="36"/>
      <c r="IT214" s="36"/>
      <c r="IU214" s="36"/>
      <c r="IV214" s="36"/>
    </row>
    <row r="215" spans="1:256" s="35" customFormat="1" ht="15">
      <c r="A215" s="36"/>
      <c r="B215" s="141"/>
      <c r="C215" s="36"/>
      <c r="D215" s="36"/>
      <c r="E215" s="36"/>
      <c r="F215" s="36"/>
      <c r="G215" s="36"/>
      <c r="H215" s="36"/>
      <c r="I215" s="36"/>
      <c r="J215" s="36"/>
      <c r="FW215" s="36"/>
      <c r="FX215" s="36"/>
      <c r="FY215" s="36"/>
      <c r="FZ215" s="36"/>
      <c r="GA215" s="36"/>
      <c r="GB215" s="36"/>
      <c r="GC215" s="36"/>
      <c r="GD215" s="36"/>
      <c r="GE215" s="36"/>
      <c r="GF215" s="36"/>
      <c r="GG215" s="36"/>
      <c r="GH215" s="36"/>
      <c r="GI215" s="36"/>
      <c r="GJ215" s="36"/>
      <c r="GK215" s="36"/>
      <c r="GL215" s="36"/>
      <c r="GM215" s="36"/>
      <c r="GN215" s="36"/>
      <c r="GO215" s="36"/>
      <c r="GP215" s="36"/>
      <c r="GQ215" s="36"/>
      <c r="GR215" s="36"/>
      <c r="GS215" s="36"/>
      <c r="GT215" s="36"/>
      <c r="GU215" s="36"/>
      <c r="GV215" s="36"/>
      <c r="GW215" s="36"/>
      <c r="GX215" s="36"/>
      <c r="GY215" s="36"/>
      <c r="GZ215" s="36"/>
      <c r="HA215" s="36"/>
      <c r="HB215" s="36"/>
      <c r="HC215" s="36"/>
      <c r="HD215" s="36"/>
      <c r="HE215" s="36"/>
      <c r="HF215" s="36"/>
      <c r="HG215" s="36"/>
      <c r="HH215" s="36"/>
      <c r="HI215" s="36"/>
      <c r="HJ215" s="36"/>
      <c r="HK215" s="36"/>
      <c r="HL215" s="36"/>
      <c r="HM215" s="36"/>
      <c r="HN215" s="36"/>
      <c r="HO215" s="36"/>
      <c r="HP215" s="36"/>
      <c r="HQ215" s="36"/>
      <c r="HR215" s="36"/>
      <c r="HS215" s="36"/>
      <c r="HT215" s="36"/>
      <c r="HU215" s="36"/>
      <c r="HV215" s="36"/>
      <c r="HW215" s="36"/>
      <c r="HX215" s="36"/>
      <c r="HY215" s="36"/>
      <c r="HZ215" s="36"/>
      <c r="IA215" s="36"/>
      <c r="IB215" s="36"/>
      <c r="IC215" s="36"/>
      <c r="ID215" s="36"/>
      <c r="IE215" s="36"/>
      <c r="IF215" s="36"/>
      <c r="IG215" s="36"/>
      <c r="IH215" s="36"/>
      <c r="II215" s="36"/>
      <c r="IJ215" s="36"/>
      <c r="IK215" s="36"/>
      <c r="IL215" s="36"/>
      <c r="IM215" s="36"/>
      <c r="IN215" s="36"/>
      <c r="IO215" s="36"/>
      <c r="IP215" s="36"/>
      <c r="IQ215" s="36"/>
      <c r="IR215" s="36"/>
      <c r="IS215" s="36"/>
      <c r="IT215" s="36"/>
      <c r="IU215" s="36"/>
      <c r="IV215" s="36"/>
    </row>
    <row r="216" spans="1:256" s="35" customFormat="1" ht="15">
      <c r="A216" s="36"/>
      <c r="B216" s="141"/>
      <c r="C216" s="36"/>
      <c r="D216" s="36"/>
      <c r="E216" s="36"/>
      <c r="F216" s="36"/>
      <c r="G216" s="36"/>
      <c r="H216" s="36"/>
      <c r="I216" s="36"/>
      <c r="J216" s="36"/>
      <c r="FW216" s="36"/>
      <c r="FX216" s="36"/>
      <c r="FY216" s="36"/>
      <c r="FZ216" s="36"/>
      <c r="GA216" s="36"/>
      <c r="GB216" s="36"/>
      <c r="GC216" s="36"/>
      <c r="GD216" s="36"/>
      <c r="GE216" s="36"/>
      <c r="GF216" s="36"/>
      <c r="GG216" s="36"/>
      <c r="GH216" s="36"/>
      <c r="GI216" s="36"/>
      <c r="GJ216" s="36"/>
      <c r="GK216" s="36"/>
      <c r="GL216" s="36"/>
      <c r="GM216" s="36"/>
      <c r="GN216" s="36"/>
      <c r="GO216" s="36"/>
      <c r="GP216" s="36"/>
      <c r="GQ216" s="36"/>
      <c r="GR216" s="36"/>
      <c r="GS216" s="36"/>
      <c r="GT216" s="36"/>
      <c r="GU216" s="36"/>
      <c r="GV216" s="36"/>
      <c r="GW216" s="36"/>
      <c r="GX216" s="36"/>
      <c r="GY216" s="36"/>
      <c r="GZ216" s="36"/>
      <c r="HA216" s="36"/>
      <c r="HB216" s="36"/>
      <c r="HC216" s="36"/>
      <c r="HD216" s="36"/>
      <c r="HE216" s="36"/>
      <c r="HF216" s="36"/>
      <c r="HG216" s="36"/>
      <c r="HH216" s="36"/>
      <c r="HI216" s="36"/>
      <c r="HJ216" s="36"/>
      <c r="HK216" s="36"/>
      <c r="HL216" s="36"/>
      <c r="HM216" s="36"/>
      <c r="HN216" s="36"/>
      <c r="HO216" s="36"/>
      <c r="HP216" s="36"/>
      <c r="HQ216" s="36"/>
      <c r="HR216" s="36"/>
      <c r="HS216" s="36"/>
      <c r="HT216" s="36"/>
      <c r="HU216" s="36"/>
      <c r="HV216" s="36"/>
      <c r="HW216" s="36"/>
      <c r="HX216" s="36"/>
      <c r="HY216" s="36"/>
      <c r="HZ216" s="36"/>
      <c r="IA216" s="36"/>
      <c r="IB216" s="36"/>
      <c r="IC216" s="36"/>
      <c r="ID216" s="36"/>
      <c r="IE216" s="36"/>
      <c r="IF216" s="36"/>
      <c r="IG216" s="36"/>
      <c r="IH216" s="36"/>
      <c r="II216" s="36"/>
      <c r="IJ216" s="36"/>
      <c r="IK216" s="36"/>
      <c r="IL216" s="36"/>
      <c r="IM216" s="36"/>
      <c r="IN216" s="36"/>
      <c r="IO216" s="36"/>
      <c r="IP216" s="36"/>
      <c r="IQ216" s="36"/>
      <c r="IR216" s="36"/>
      <c r="IS216" s="36"/>
      <c r="IT216" s="36"/>
      <c r="IU216" s="36"/>
      <c r="IV216" s="36"/>
    </row>
    <row r="217" spans="1:256" s="35" customFormat="1" ht="15">
      <c r="A217" s="36"/>
      <c r="B217" s="141"/>
      <c r="C217" s="36"/>
      <c r="D217" s="36"/>
      <c r="E217" s="36"/>
      <c r="F217" s="36"/>
      <c r="G217" s="36"/>
      <c r="H217" s="36"/>
      <c r="I217" s="36"/>
      <c r="J217" s="36"/>
      <c r="FW217" s="36"/>
      <c r="FX217" s="36"/>
      <c r="FY217" s="36"/>
      <c r="FZ217" s="36"/>
      <c r="GA217" s="36"/>
      <c r="GB217" s="36"/>
      <c r="GC217" s="36"/>
      <c r="GD217" s="36"/>
      <c r="GE217" s="36"/>
      <c r="GF217" s="36"/>
      <c r="GG217" s="36"/>
      <c r="GH217" s="36"/>
      <c r="GI217" s="36"/>
      <c r="GJ217" s="36"/>
      <c r="GK217" s="36"/>
      <c r="GL217" s="36"/>
      <c r="GM217" s="36"/>
      <c r="GN217" s="36"/>
      <c r="GO217" s="36"/>
      <c r="GP217" s="36"/>
      <c r="GQ217" s="36"/>
      <c r="GR217" s="36"/>
      <c r="GS217" s="36"/>
      <c r="GT217" s="36"/>
      <c r="GU217" s="36"/>
      <c r="GV217" s="36"/>
      <c r="GW217" s="36"/>
      <c r="GX217" s="36"/>
      <c r="GY217" s="36"/>
      <c r="GZ217" s="36"/>
      <c r="HA217" s="36"/>
      <c r="HB217" s="36"/>
      <c r="HC217" s="36"/>
      <c r="HD217" s="36"/>
      <c r="HE217" s="36"/>
      <c r="HF217" s="36"/>
      <c r="HG217" s="36"/>
      <c r="HH217" s="36"/>
      <c r="HI217" s="36"/>
      <c r="HJ217" s="36"/>
      <c r="HK217" s="36"/>
      <c r="HL217" s="36"/>
      <c r="HM217" s="36"/>
      <c r="HN217" s="36"/>
      <c r="HO217" s="36"/>
      <c r="HP217" s="36"/>
      <c r="HQ217" s="36"/>
      <c r="HR217" s="36"/>
      <c r="HS217" s="36"/>
      <c r="HT217" s="36"/>
      <c r="HU217" s="36"/>
      <c r="HV217" s="36"/>
      <c r="HW217" s="36"/>
      <c r="HX217" s="36"/>
      <c r="HY217" s="36"/>
      <c r="HZ217" s="36"/>
      <c r="IA217" s="36"/>
      <c r="IB217" s="36"/>
      <c r="IC217" s="36"/>
      <c r="ID217" s="36"/>
      <c r="IE217" s="36"/>
      <c r="IF217" s="36"/>
      <c r="IG217" s="36"/>
      <c r="IH217" s="36"/>
      <c r="II217" s="36"/>
      <c r="IJ217" s="36"/>
      <c r="IK217" s="36"/>
      <c r="IL217" s="36"/>
      <c r="IM217" s="36"/>
      <c r="IN217" s="36"/>
      <c r="IO217" s="36"/>
      <c r="IP217" s="36"/>
      <c r="IQ217" s="36"/>
      <c r="IR217" s="36"/>
      <c r="IS217" s="36"/>
      <c r="IT217" s="36"/>
      <c r="IU217" s="36"/>
      <c r="IV217" s="36"/>
    </row>
    <row r="218" spans="1:256" s="35" customFormat="1" ht="15">
      <c r="A218" s="36"/>
      <c r="B218" s="141"/>
      <c r="C218" s="36"/>
      <c r="D218" s="36"/>
      <c r="E218" s="36"/>
      <c r="F218" s="36"/>
      <c r="G218" s="36"/>
      <c r="H218" s="36"/>
      <c r="I218" s="36"/>
      <c r="J218" s="36"/>
      <c r="FW218" s="36"/>
      <c r="FX218" s="36"/>
      <c r="FY218" s="36"/>
      <c r="FZ218" s="36"/>
      <c r="GA218" s="36"/>
      <c r="GB218" s="36"/>
      <c r="GC218" s="36"/>
      <c r="GD218" s="36"/>
      <c r="GE218" s="36"/>
      <c r="GF218" s="36"/>
      <c r="GG218" s="36"/>
      <c r="GH218" s="36"/>
      <c r="GI218" s="36"/>
      <c r="GJ218" s="36"/>
      <c r="GK218" s="36"/>
      <c r="GL218" s="36"/>
      <c r="GM218" s="36"/>
      <c r="GN218" s="36"/>
      <c r="GO218" s="36"/>
      <c r="GP218" s="36"/>
      <c r="GQ218" s="36"/>
      <c r="GR218" s="36"/>
      <c r="GS218" s="36"/>
      <c r="GT218" s="36"/>
      <c r="GU218" s="36"/>
      <c r="GV218" s="36"/>
      <c r="GW218" s="36"/>
      <c r="GX218" s="36"/>
      <c r="GY218" s="36"/>
      <c r="GZ218" s="36"/>
      <c r="HA218" s="36"/>
      <c r="HB218" s="36"/>
      <c r="HC218" s="36"/>
      <c r="HD218" s="36"/>
      <c r="HE218" s="36"/>
      <c r="HF218" s="36"/>
      <c r="HG218" s="36"/>
      <c r="HH218" s="36"/>
      <c r="HI218" s="36"/>
      <c r="HJ218" s="36"/>
      <c r="HK218" s="36"/>
      <c r="HL218" s="36"/>
      <c r="HM218" s="36"/>
      <c r="HN218" s="36"/>
      <c r="HO218" s="36"/>
      <c r="HP218" s="36"/>
      <c r="HQ218" s="36"/>
      <c r="HR218" s="36"/>
      <c r="HS218" s="36"/>
      <c r="HT218" s="36"/>
      <c r="HU218" s="36"/>
      <c r="HV218" s="36"/>
      <c r="HW218" s="36"/>
      <c r="HX218" s="36"/>
      <c r="HY218" s="36"/>
      <c r="HZ218" s="36"/>
      <c r="IA218" s="36"/>
      <c r="IB218" s="36"/>
      <c r="IC218" s="36"/>
      <c r="ID218" s="36"/>
      <c r="IE218" s="36"/>
      <c r="IF218" s="36"/>
      <c r="IG218" s="36"/>
      <c r="IH218" s="36"/>
      <c r="II218" s="36"/>
      <c r="IJ218" s="36"/>
      <c r="IK218" s="36"/>
      <c r="IL218" s="36"/>
      <c r="IM218" s="36"/>
      <c r="IN218" s="36"/>
      <c r="IO218" s="36"/>
      <c r="IP218" s="36"/>
      <c r="IQ218" s="36"/>
      <c r="IR218" s="36"/>
      <c r="IS218" s="36"/>
      <c r="IT218" s="36"/>
      <c r="IU218" s="36"/>
      <c r="IV218" s="36"/>
    </row>
    <row r="219" spans="1:256" s="35" customFormat="1" ht="15">
      <c r="A219" s="36"/>
      <c r="B219" s="141"/>
      <c r="C219" s="36"/>
      <c r="D219" s="36"/>
      <c r="E219" s="36"/>
      <c r="F219" s="36"/>
      <c r="G219" s="36"/>
      <c r="H219" s="36"/>
      <c r="I219" s="36"/>
      <c r="J219" s="36"/>
      <c r="FW219" s="36"/>
      <c r="FX219" s="36"/>
      <c r="FY219" s="36"/>
      <c r="FZ219" s="36"/>
      <c r="GA219" s="36"/>
      <c r="GB219" s="36"/>
      <c r="GC219" s="36"/>
      <c r="GD219" s="36"/>
      <c r="GE219" s="36"/>
      <c r="GF219" s="36"/>
      <c r="GG219" s="36"/>
      <c r="GH219" s="36"/>
      <c r="GI219" s="36"/>
      <c r="GJ219" s="36"/>
      <c r="GK219" s="36"/>
      <c r="GL219" s="36"/>
      <c r="GM219" s="36"/>
      <c r="GN219" s="36"/>
      <c r="GO219" s="36"/>
      <c r="GP219" s="36"/>
      <c r="GQ219" s="36"/>
      <c r="GR219" s="36"/>
      <c r="GS219" s="36"/>
      <c r="GT219" s="36"/>
      <c r="GU219" s="36"/>
      <c r="GV219" s="36"/>
      <c r="GW219" s="36"/>
      <c r="GX219" s="36"/>
      <c r="GY219" s="36"/>
      <c r="GZ219" s="36"/>
      <c r="HA219" s="36"/>
      <c r="HB219" s="36"/>
      <c r="HC219" s="36"/>
      <c r="HD219" s="36"/>
      <c r="HE219" s="36"/>
      <c r="HF219" s="36"/>
      <c r="HG219" s="36"/>
      <c r="HH219" s="36"/>
      <c r="HI219" s="36"/>
      <c r="HJ219" s="36"/>
      <c r="HK219" s="36"/>
      <c r="HL219" s="36"/>
      <c r="HM219" s="36"/>
      <c r="HN219" s="36"/>
      <c r="HO219" s="36"/>
      <c r="HP219" s="36"/>
      <c r="HQ219" s="36"/>
      <c r="HR219" s="36"/>
      <c r="HS219" s="36"/>
      <c r="HT219" s="36"/>
      <c r="HU219" s="36"/>
      <c r="HV219" s="36"/>
      <c r="HW219" s="36"/>
      <c r="HX219" s="36"/>
      <c r="HY219" s="36"/>
      <c r="HZ219" s="36"/>
      <c r="IA219" s="36"/>
      <c r="IB219" s="36"/>
      <c r="IC219" s="36"/>
      <c r="ID219" s="36"/>
      <c r="IE219" s="36"/>
      <c r="IF219" s="36"/>
      <c r="IG219" s="36"/>
      <c r="IH219" s="36"/>
      <c r="II219" s="36"/>
      <c r="IJ219" s="36"/>
      <c r="IK219" s="36"/>
      <c r="IL219" s="36"/>
      <c r="IM219" s="36"/>
      <c r="IN219" s="36"/>
      <c r="IO219" s="36"/>
      <c r="IP219" s="36"/>
      <c r="IQ219" s="36"/>
      <c r="IR219" s="36"/>
      <c r="IS219" s="36"/>
      <c r="IT219" s="36"/>
      <c r="IU219" s="36"/>
      <c r="IV219" s="36"/>
    </row>
    <row r="220" spans="1:256" s="35" customFormat="1" ht="15">
      <c r="A220" s="36"/>
      <c r="B220" s="141"/>
      <c r="C220" s="36"/>
      <c r="D220" s="36"/>
      <c r="E220" s="36"/>
      <c r="F220" s="36"/>
      <c r="G220" s="36"/>
      <c r="H220" s="36"/>
      <c r="I220" s="36"/>
      <c r="J220" s="36"/>
      <c r="FW220" s="36"/>
      <c r="FX220" s="36"/>
      <c r="FY220" s="36"/>
      <c r="FZ220" s="36"/>
      <c r="GA220" s="36"/>
      <c r="GB220" s="36"/>
      <c r="GC220" s="36"/>
      <c r="GD220" s="36"/>
      <c r="GE220" s="36"/>
      <c r="GF220" s="36"/>
      <c r="GG220" s="36"/>
      <c r="GH220" s="36"/>
      <c r="GI220" s="36"/>
      <c r="GJ220" s="36"/>
      <c r="GK220" s="36"/>
      <c r="GL220" s="36"/>
      <c r="GM220" s="36"/>
      <c r="GN220" s="36"/>
      <c r="GO220" s="36"/>
      <c r="GP220" s="36"/>
      <c r="GQ220" s="36"/>
      <c r="GR220" s="36"/>
      <c r="GS220" s="36"/>
      <c r="GT220" s="36"/>
      <c r="GU220" s="36"/>
      <c r="GV220" s="36"/>
      <c r="GW220" s="36"/>
      <c r="GX220" s="36"/>
      <c r="GY220" s="36"/>
      <c r="GZ220" s="36"/>
      <c r="HA220" s="36"/>
      <c r="HB220" s="36"/>
      <c r="HC220" s="36"/>
      <c r="HD220" s="36"/>
      <c r="HE220" s="36"/>
      <c r="HF220" s="36"/>
      <c r="HG220" s="36"/>
      <c r="HH220" s="36"/>
      <c r="HI220" s="36"/>
      <c r="HJ220" s="36"/>
      <c r="HK220" s="36"/>
      <c r="HL220" s="36"/>
      <c r="HM220" s="36"/>
      <c r="HN220" s="36"/>
      <c r="HO220" s="36"/>
      <c r="HP220" s="36"/>
      <c r="HQ220" s="36"/>
      <c r="HR220" s="36"/>
      <c r="HS220" s="36"/>
      <c r="HT220" s="36"/>
      <c r="HU220" s="36"/>
      <c r="HV220" s="36"/>
      <c r="HW220" s="36"/>
      <c r="HX220" s="36"/>
      <c r="HY220" s="36"/>
      <c r="HZ220" s="36"/>
      <c r="IA220" s="36"/>
      <c r="IB220" s="36"/>
      <c r="IC220" s="36"/>
      <c r="ID220" s="36"/>
      <c r="IE220" s="36"/>
      <c r="IF220" s="36"/>
      <c r="IG220" s="36"/>
      <c r="IH220" s="36"/>
      <c r="II220" s="36"/>
      <c r="IJ220" s="36"/>
      <c r="IK220" s="36"/>
      <c r="IL220" s="36"/>
      <c r="IM220" s="36"/>
      <c r="IN220" s="36"/>
      <c r="IO220" s="36"/>
      <c r="IP220" s="36"/>
      <c r="IQ220" s="36"/>
      <c r="IR220" s="36"/>
      <c r="IS220" s="36"/>
      <c r="IT220" s="36"/>
      <c r="IU220" s="36"/>
      <c r="IV220" s="36"/>
    </row>
    <row r="221" spans="1:256" s="35" customFormat="1" ht="15">
      <c r="A221" s="36"/>
      <c r="B221" s="141"/>
      <c r="C221" s="36"/>
      <c r="D221" s="36"/>
      <c r="E221" s="36"/>
      <c r="F221" s="36"/>
      <c r="G221" s="36"/>
      <c r="H221" s="36"/>
      <c r="I221" s="36"/>
      <c r="J221" s="36"/>
      <c r="FW221" s="36"/>
      <c r="FX221" s="36"/>
      <c r="FY221" s="36"/>
      <c r="FZ221" s="36"/>
      <c r="GA221" s="36"/>
      <c r="GB221" s="36"/>
      <c r="GC221" s="36"/>
      <c r="GD221" s="36"/>
      <c r="GE221" s="36"/>
      <c r="GF221" s="36"/>
      <c r="GG221" s="36"/>
      <c r="GH221" s="36"/>
      <c r="GI221" s="36"/>
      <c r="GJ221" s="36"/>
      <c r="GK221" s="36"/>
      <c r="GL221" s="36"/>
      <c r="GM221" s="36"/>
      <c r="GN221" s="36"/>
      <c r="GO221" s="36"/>
      <c r="GP221" s="36"/>
      <c r="GQ221" s="36"/>
      <c r="GR221" s="36"/>
      <c r="GS221" s="36"/>
      <c r="GT221" s="36"/>
      <c r="GU221" s="36"/>
      <c r="GV221" s="36"/>
      <c r="GW221" s="36"/>
      <c r="GX221" s="36"/>
      <c r="GY221" s="36"/>
      <c r="GZ221" s="36"/>
      <c r="HA221" s="36"/>
      <c r="HB221" s="36"/>
      <c r="HC221" s="36"/>
      <c r="HD221" s="36"/>
      <c r="HE221" s="36"/>
      <c r="HF221" s="36"/>
      <c r="HG221" s="36"/>
      <c r="HH221" s="36"/>
      <c r="HI221" s="36"/>
      <c r="HJ221" s="36"/>
      <c r="HK221" s="36"/>
      <c r="HL221" s="36"/>
      <c r="HM221" s="36"/>
      <c r="HN221" s="36"/>
      <c r="HO221" s="36"/>
      <c r="HP221" s="36"/>
      <c r="HQ221" s="36"/>
      <c r="HR221" s="36"/>
      <c r="HS221" s="36"/>
      <c r="HT221" s="36"/>
      <c r="HU221" s="36"/>
      <c r="HV221" s="36"/>
      <c r="HW221" s="36"/>
      <c r="HX221" s="36"/>
      <c r="HY221" s="36"/>
      <c r="HZ221" s="36"/>
      <c r="IA221" s="36"/>
      <c r="IB221" s="36"/>
      <c r="IC221" s="36"/>
      <c r="ID221" s="36"/>
      <c r="IE221" s="36"/>
      <c r="IF221" s="36"/>
      <c r="IG221" s="36"/>
      <c r="IH221" s="36"/>
      <c r="II221" s="36"/>
      <c r="IJ221" s="36"/>
      <c r="IK221" s="36"/>
      <c r="IL221" s="36"/>
      <c r="IM221" s="36"/>
      <c r="IN221" s="36"/>
      <c r="IO221" s="36"/>
      <c r="IP221" s="36"/>
      <c r="IQ221" s="36"/>
      <c r="IR221" s="36"/>
      <c r="IS221" s="36"/>
      <c r="IT221" s="36"/>
      <c r="IU221" s="36"/>
      <c r="IV221" s="36"/>
    </row>
    <row r="222" spans="1:256" s="35" customFormat="1" ht="15">
      <c r="A222" s="36"/>
      <c r="B222" s="141"/>
      <c r="C222" s="36"/>
      <c r="D222" s="36"/>
      <c r="E222" s="36"/>
      <c r="F222" s="36"/>
      <c r="G222" s="36"/>
      <c r="H222" s="36"/>
      <c r="I222" s="36"/>
      <c r="J222" s="36"/>
      <c r="FW222" s="36"/>
      <c r="FX222" s="36"/>
      <c r="FY222" s="36"/>
      <c r="FZ222" s="36"/>
      <c r="GA222" s="36"/>
      <c r="GB222" s="36"/>
      <c r="GC222" s="36"/>
      <c r="GD222" s="36"/>
      <c r="GE222" s="36"/>
      <c r="GF222" s="36"/>
      <c r="GG222" s="36"/>
      <c r="GH222" s="36"/>
      <c r="GI222" s="36"/>
      <c r="GJ222" s="36"/>
      <c r="GK222" s="36"/>
      <c r="GL222" s="36"/>
      <c r="GM222" s="36"/>
      <c r="GN222" s="36"/>
      <c r="GO222" s="36"/>
      <c r="GP222" s="36"/>
      <c r="GQ222" s="36"/>
      <c r="GR222" s="36"/>
      <c r="GS222" s="36"/>
      <c r="GT222" s="36"/>
      <c r="GU222" s="36"/>
      <c r="GV222" s="36"/>
      <c r="GW222" s="36"/>
      <c r="GX222" s="36"/>
      <c r="GY222" s="36"/>
      <c r="GZ222" s="36"/>
      <c r="HA222" s="36"/>
      <c r="HB222" s="36"/>
      <c r="HC222" s="36"/>
      <c r="HD222" s="36"/>
      <c r="HE222" s="36"/>
      <c r="HF222" s="36"/>
      <c r="HG222" s="36"/>
      <c r="HH222" s="36"/>
      <c r="HI222" s="36"/>
      <c r="HJ222" s="36"/>
      <c r="HK222" s="36"/>
      <c r="HL222" s="36"/>
      <c r="HM222" s="36"/>
      <c r="HN222" s="36"/>
      <c r="HO222" s="36"/>
      <c r="HP222" s="36"/>
      <c r="HQ222" s="36"/>
      <c r="HR222" s="36"/>
      <c r="HS222" s="36"/>
      <c r="HT222" s="36"/>
      <c r="HU222" s="36"/>
      <c r="HV222" s="36"/>
      <c r="HW222" s="36"/>
      <c r="HX222" s="36"/>
      <c r="HY222" s="36"/>
      <c r="HZ222" s="36"/>
      <c r="IA222" s="36"/>
      <c r="IB222" s="36"/>
      <c r="IC222" s="36"/>
      <c r="ID222" s="36"/>
      <c r="IE222" s="36"/>
      <c r="IF222" s="36"/>
      <c r="IG222" s="36"/>
      <c r="IH222" s="36"/>
      <c r="II222" s="36"/>
      <c r="IJ222" s="36"/>
      <c r="IK222" s="36"/>
      <c r="IL222" s="36"/>
      <c r="IM222" s="36"/>
      <c r="IN222" s="36"/>
      <c r="IO222" s="36"/>
      <c r="IP222" s="36"/>
      <c r="IQ222" s="36"/>
      <c r="IR222" s="36"/>
      <c r="IS222" s="36"/>
      <c r="IT222" s="36"/>
      <c r="IU222" s="36"/>
      <c r="IV222" s="36"/>
    </row>
    <row r="223" spans="1:256" s="35" customFormat="1" ht="15">
      <c r="A223" s="36"/>
      <c r="B223" s="141"/>
      <c r="C223" s="36"/>
      <c r="D223" s="36"/>
      <c r="E223" s="36"/>
      <c r="F223" s="36"/>
      <c r="G223" s="36"/>
      <c r="H223" s="36"/>
      <c r="I223" s="36"/>
      <c r="J223" s="36"/>
      <c r="FW223" s="36"/>
      <c r="FX223" s="36"/>
      <c r="FY223" s="36"/>
      <c r="FZ223" s="36"/>
      <c r="GA223" s="36"/>
      <c r="GB223" s="36"/>
      <c r="GC223" s="36"/>
      <c r="GD223" s="36"/>
      <c r="GE223" s="36"/>
      <c r="GF223" s="36"/>
      <c r="GG223" s="36"/>
      <c r="GH223" s="36"/>
      <c r="GI223" s="36"/>
      <c r="GJ223" s="36"/>
      <c r="GK223" s="36"/>
      <c r="GL223" s="36"/>
      <c r="GM223" s="36"/>
      <c r="GN223" s="36"/>
      <c r="GO223" s="36"/>
      <c r="GP223" s="36"/>
      <c r="GQ223" s="36"/>
      <c r="GR223" s="36"/>
      <c r="GS223" s="36"/>
      <c r="GT223" s="36"/>
      <c r="GU223" s="36"/>
      <c r="GV223" s="36"/>
      <c r="GW223" s="36"/>
      <c r="GX223" s="36"/>
      <c r="GY223" s="36"/>
      <c r="GZ223" s="36"/>
      <c r="HA223" s="36"/>
      <c r="HB223" s="36"/>
      <c r="HC223" s="36"/>
      <c r="HD223" s="36"/>
      <c r="HE223" s="36"/>
      <c r="HF223" s="36"/>
      <c r="HG223" s="36"/>
      <c r="HH223" s="36"/>
      <c r="HI223" s="36"/>
      <c r="HJ223" s="36"/>
      <c r="HK223" s="36"/>
      <c r="HL223" s="36"/>
      <c r="HM223" s="36"/>
      <c r="HN223" s="36"/>
      <c r="HO223" s="36"/>
      <c r="HP223" s="36"/>
      <c r="HQ223" s="36"/>
      <c r="HR223" s="36"/>
      <c r="HS223" s="36"/>
      <c r="HT223" s="36"/>
      <c r="HU223" s="36"/>
      <c r="HV223" s="36"/>
      <c r="HW223" s="36"/>
      <c r="HX223" s="36"/>
      <c r="HY223" s="36"/>
      <c r="HZ223" s="36"/>
      <c r="IA223" s="36"/>
      <c r="IB223" s="36"/>
      <c r="IC223" s="36"/>
      <c r="ID223" s="36"/>
      <c r="IE223" s="36"/>
      <c r="IF223" s="36"/>
      <c r="IG223" s="36"/>
      <c r="IH223" s="36"/>
      <c r="II223" s="36"/>
      <c r="IJ223" s="36"/>
      <c r="IK223" s="36"/>
      <c r="IL223" s="36"/>
      <c r="IM223" s="36"/>
      <c r="IN223" s="36"/>
      <c r="IO223" s="36"/>
      <c r="IP223" s="36"/>
      <c r="IQ223" s="36"/>
      <c r="IR223" s="36"/>
      <c r="IS223" s="36"/>
      <c r="IT223" s="36"/>
      <c r="IU223" s="36"/>
      <c r="IV223" s="36"/>
    </row>
    <row r="224" spans="1:256" s="35" customFormat="1" ht="15">
      <c r="A224" s="36"/>
      <c r="B224" s="141"/>
      <c r="C224" s="36"/>
      <c r="D224" s="36"/>
      <c r="E224" s="36"/>
      <c r="F224" s="36"/>
      <c r="G224" s="36"/>
      <c r="H224" s="36"/>
      <c r="I224" s="36"/>
      <c r="J224" s="36"/>
      <c r="FW224" s="36"/>
      <c r="FX224" s="36"/>
      <c r="FY224" s="36"/>
      <c r="FZ224" s="36"/>
      <c r="GA224" s="36"/>
      <c r="GB224" s="36"/>
      <c r="GC224" s="36"/>
      <c r="GD224" s="36"/>
      <c r="GE224" s="36"/>
      <c r="GF224" s="36"/>
      <c r="GG224" s="36"/>
      <c r="GH224" s="36"/>
      <c r="GI224" s="36"/>
      <c r="GJ224" s="36"/>
      <c r="GK224" s="36"/>
      <c r="GL224" s="36"/>
      <c r="GM224" s="36"/>
      <c r="GN224" s="36"/>
      <c r="GO224" s="36"/>
      <c r="GP224" s="36"/>
      <c r="GQ224" s="36"/>
      <c r="GR224" s="36"/>
      <c r="GS224" s="36"/>
      <c r="GT224" s="36"/>
      <c r="GU224" s="36"/>
      <c r="GV224" s="36"/>
      <c r="GW224" s="36"/>
      <c r="GX224" s="36"/>
      <c r="GY224" s="36"/>
      <c r="GZ224" s="36"/>
      <c r="HA224" s="36"/>
      <c r="HB224" s="36"/>
      <c r="HC224" s="36"/>
      <c r="HD224" s="36"/>
      <c r="HE224" s="36"/>
      <c r="HF224" s="36"/>
      <c r="HG224" s="36"/>
      <c r="HH224" s="36"/>
      <c r="HI224" s="36"/>
      <c r="HJ224" s="36"/>
      <c r="HK224" s="36"/>
      <c r="HL224" s="36"/>
      <c r="HM224" s="36"/>
      <c r="HN224" s="36"/>
      <c r="HO224" s="36"/>
      <c r="HP224" s="36"/>
      <c r="HQ224" s="36"/>
      <c r="HR224" s="36"/>
      <c r="HS224" s="36"/>
      <c r="HT224" s="36"/>
      <c r="HU224" s="36"/>
      <c r="HV224" s="36"/>
      <c r="HW224" s="36"/>
      <c r="HX224" s="36"/>
      <c r="HY224" s="36"/>
      <c r="HZ224" s="36"/>
      <c r="IA224" s="36"/>
      <c r="IB224" s="36"/>
      <c r="IC224" s="36"/>
      <c r="ID224" s="36"/>
      <c r="IE224" s="36"/>
      <c r="IF224" s="36"/>
      <c r="IG224" s="36"/>
      <c r="IH224" s="36"/>
      <c r="II224" s="36"/>
      <c r="IJ224" s="36"/>
      <c r="IK224" s="36"/>
      <c r="IL224" s="36"/>
      <c r="IM224" s="36"/>
      <c r="IN224" s="36"/>
      <c r="IO224" s="36"/>
      <c r="IP224" s="36"/>
      <c r="IQ224" s="36"/>
      <c r="IR224" s="36"/>
      <c r="IS224" s="36"/>
      <c r="IT224" s="36"/>
      <c r="IU224" s="36"/>
      <c r="IV224" s="36"/>
    </row>
    <row r="225" spans="1:256" s="35" customFormat="1" ht="15">
      <c r="A225" s="36"/>
      <c r="B225" s="141"/>
      <c r="C225" s="36"/>
      <c r="D225" s="36"/>
      <c r="E225" s="36"/>
      <c r="F225" s="36"/>
      <c r="G225" s="36"/>
      <c r="H225" s="36"/>
      <c r="I225" s="36"/>
      <c r="J225" s="36"/>
      <c r="FW225" s="36"/>
      <c r="FX225" s="36"/>
      <c r="FY225" s="36"/>
      <c r="FZ225" s="36"/>
      <c r="GA225" s="36"/>
      <c r="GB225" s="36"/>
      <c r="GC225" s="36"/>
      <c r="GD225" s="36"/>
      <c r="GE225" s="36"/>
      <c r="GF225" s="36"/>
      <c r="GG225" s="36"/>
      <c r="GH225" s="36"/>
      <c r="GI225" s="36"/>
      <c r="GJ225" s="36"/>
      <c r="GK225" s="36"/>
      <c r="GL225" s="36"/>
      <c r="GM225" s="36"/>
      <c r="GN225" s="36"/>
      <c r="GO225" s="36"/>
      <c r="GP225" s="36"/>
      <c r="GQ225" s="36"/>
      <c r="GR225" s="36"/>
      <c r="GS225" s="36"/>
      <c r="GT225" s="36"/>
      <c r="GU225" s="36"/>
      <c r="GV225" s="36"/>
      <c r="GW225" s="36"/>
      <c r="GX225" s="36"/>
      <c r="GY225" s="36"/>
      <c r="GZ225" s="36"/>
      <c r="HA225" s="36"/>
      <c r="HB225" s="36"/>
      <c r="HC225" s="36"/>
      <c r="HD225" s="36"/>
      <c r="HE225" s="36"/>
      <c r="HF225" s="36"/>
      <c r="HG225" s="36"/>
      <c r="HH225" s="36"/>
      <c r="HI225" s="36"/>
      <c r="HJ225" s="36"/>
      <c r="HK225" s="36"/>
      <c r="HL225" s="36"/>
      <c r="HM225" s="36"/>
      <c r="HN225" s="36"/>
      <c r="HO225" s="36"/>
      <c r="HP225" s="36"/>
      <c r="HQ225" s="36"/>
      <c r="HR225" s="36"/>
      <c r="HS225" s="36"/>
      <c r="HT225" s="36"/>
      <c r="HU225" s="36"/>
      <c r="HV225" s="36"/>
      <c r="HW225" s="36"/>
      <c r="HX225" s="36"/>
      <c r="HY225" s="36"/>
      <c r="HZ225" s="36"/>
      <c r="IA225" s="36"/>
      <c r="IB225" s="36"/>
      <c r="IC225" s="36"/>
      <c r="ID225" s="36"/>
      <c r="IE225" s="36"/>
      <c r="IF225" s="36"/>
      <c r="IG225" s="36"/>
      <c r="IH225" s="36"/>
      <c r="II225" s="36"/>
      <c r="IJ225" s="36"/>
      <c r="IK225" s="36"/>
      <c r="IL225" s="36"/>
      <c r="IM225" s="36"/>
      <c r="IN225" s="36"/>
      <c r="IO225" s="36"/>
      <c r="IP225" s="36"/>
      <c r="IQ225" s="36"/>
      <c r="IR225" s="36"/>
      <c r="IS225" s="36"/>
      <c r="IT225" s="36"/>
      <c r="IU225" s="36"/>
      <c r="IV225" s="36"/>
    </row>
    <row r="226" spans="1:256" s="35" customFormat="1" ht="15">
      <c r="A226" s="36"/>
      <c r="B226" s="141"/>
      <c r="C226" s="36"/>
      <c r="D226" s="36"/>
      <c r="E226" s="36"/>
      <c r="F226" s="36"/>
      <c r="G226" s="36"/>
      <c r="H226" s="36"/>
      <c r="I226" s="36"/>
      <c r="J226" s="36"/>
      <c r="FW226" s="36"/>
      <c r="FX226" s="36"/>
      <c r="FY226" s="36"/>
      <c r="FZ226" s="36"/>
      <c r="GA226" s="36"/>
      <c r="GB226" s="36"/>
      <c r="GC226" s="36"/>
      <c r="GD226" s="36"/>
      <c r="GE226" s="36"/>
      <c r="GF226" s="36"/>
      <c r="GG226" s="36"/>
      <c r="GH226" s="36"/>
      <c r="GI226" s="36"/>
      <c r="GJ226" s="36"/>
      <c r="GK226" s="36"/>
      <c r="GL226" s="36"/>
      <c r="GM226" s="36"/>
      <c r="GN226" s="36"/>
      <c r="GO226" s="36"/>
      <c r="GP226" s="36"/>
      <c r="GQ226" s="36"/>
      <c r="GR226" s="36"/>
      <c r="GS226" s="36"/>
      <c r="GT226" s="36"/>
      <c r="GU226" s="36"/>
      <c r="GV226" s="36"/>
      <c r="GW226" s="36"/>
      <c r="GX226" s="36"/>
      <c r="GY226" s="36"/>
      <c r="GZ226" s="36"/>
      <c r="HA226" s="36"/>
      <c r="HB226" s="36"/>
      <c r="HC226" s="36"/>
      <c r="HD226" s="36"/>
      <c r="HE226" s="36"/>
      <c r="HF226" s="36"/>
      <c r="HG226" s="36"/>
      <c r="HH226" s="36"/>
      <c r="HI226" s="36"/>
      <c r="HJ226" s="36"/>
      <c r="HK226" s="36"/>
      <c r="HL226" s="36"/>
      <c r="HM226" s="36"/>
      <c r="HN226" s="36"/>
      <c r="HO226" s="36"/>
      <c r="HP226" s="36"/>
      <c r="HQ226" s="36"/>
      <c r="HR226" s="36"/>
      <c r="HS226" s="36"/>
      <c r="HT226" s="36"/>
      <c r="HU226" s="36"/>
      <c r="HV226" s="36"/>
      <c r="HW226" s="36"/>
      <c r="HX226" s="36"/>
      <c r="HY226" s="36"/>
      <c r="HZ226" s="36"/>
      <c r="IA226" s="36"/>
      <c r="IB226" s="36"/>
      <c r="IC226" s="36"/>
      <c r="ID226" s="36"/>
      <c r="IE226" s="36"/>
      <c r="IF226" s="36"/>
      <c r="IG226" s="36"/>
      <c r="IH226" s="36"/>
      <c r="II226" s="36"/>
      <c r="IJ226" s="36"/>
      <c r="IK226" s="36"/>
      <c r="IL226" s="36"/>
      <c r="IM226" s="36"/>
      <c r="IN226" s="36"/>
      <c r="IO226" s="36"/>
      <c r="IP226" s="36"/>
      <c r="IQ226" s="36"/>
      <c r="IR226" s="36"/>
      <c r="IS226" s="36"/>
      <c r="IT226" s="36"/>
      <c r="IU226" s="36"/>
      <c r="IV226" s="36"/>
    </row>
    <row r="227" spans="1:256" s="35" customFormat="1" ht="15">
      <c r="A227" s="36"/>
      <c r="B227" s="141"/>
      <c r="C227" s="36"/>
      <c r="D227" s="36"/>
      <c r="E227" s="36"/>
      <c r="F227" s="36"/>
      <c r="G227" s="36"/>
      <c r="H227" s="36"/>
      <c r="I227" s="36"/>
      <c r="J227" s="36"/>
      <c r="FW227" s="36"/>
      <c r="FX227" s="36"/>
      <c r="FY227" s="36"/>
      <c r="FZ227" s="36"/>
      <c r="GA227" s="36"/>
      <c r="GB227" s="36"/>
      <c r="GC227" s="36"/>
      <c r="GD227" s="36"/>
      <c r="GE227" s="36"/>
      <c r="GF227" s="36"/>
      <c r="GG227" s="36"/>
      <c r="GH227" s="36"/>
      <c r="GI227" s="36"/>
      <c r="GJ227" s="36"/>
      <c r="GK227" s="36"/>
      <c r="GL227" s="36"/>
      <c r="GM227" s="36"/>
      <c r="GN227" s="36"/>
      <c r="GO227" s="36"/>
      <c r="GP227" s="36"/>
      <c r="GQ227" s="36"/>
      <c r="GR227" s="36"/>
      <c r="GS227" s="36"/>
      <c r="GT227" s="36"/>
      <c r="GU227" s="36"/>
      <c r="GV227" s="36"/>
      <c r="GW227" s="36"/>
      <c r="GX227" s="36"/>
      <c r="GY227" s="36"/>
      <c r="GZ227" s="36"/>
      <c r="HA227" s="36"/>
      <c r="HB227" s="36"/>
      <c r="HC227" s="36"/>
      <c r="HD227" s="36"/>
      <c r="HE227" s="36"/>
      <c r="HF227" s="36"/>
      <c r="HG227" s="36"/>
      <c r="HH227" s="36"/>
      <c r="HI227" s="36"/>
      <c r="HJ227" s="36"/>
      <c r="HK227" s="36"/>
      <c r="HL227" s="36"/>
      <c r="HM227" s="36"/>
      <c r="HN227" s="36"/>
      <c r="HO227" s="36"/>
      <c r="HP227" s="36"/>
      <c r="HQ227" s="36"/>
      <c r="HR227" s="36"/>
      <c r="HS227" s="36"/>
      <c r="HT227" s="36"/>
      <c r="HU227" s="36"/>
      <c r="HV227" s="36"/>
      <c r="HW227" s="36"/>
      <c r="HX227" s="36"/>
      <c r="HY227" s="36"/>
      <c r="HZ227" s="36"/>
      <c r="IA227" s="36"/>
      <c r="IB227" s="36"/>
      <c r="IC227" s="36"/>
      <c r="ID227" s="36"/>
      <c r="IE227" s="36"/>
      <c r="IF227" s="36"/>
      <c r="IG227" s="36"/>
      <c r="IH227" s="36"/>
      <c r="II227" s="36"/>
      <c r="IJ227" s="36"/>
      <c r="IK227" s="36"/>
      <c r="IL227" s="36"/>
      <c r="IM227" s="36"/>
      <c r="IN227" s="36"/>
      <c r="IO227" s="36"/>
      <c r="IP227" s="36"/>
      <c r="IQ227" s="36"/>
      <c r="IR227" s="36"/>
      <c r="IS227" s="36"/>
      <c r="IT227" s="36"/>
      <c r="IU227" s="36"/>
      <c r="IV227" s="36"/>
    </row>
    <row r="228" spans="1:256" s="35" customFormat="1" ht="15">
      <c r="A228" s="36"/>
      <c r="B228" s="141"/>
      <c r="C228" s="36"/>
      <c r="D228" s="36"/>
      <c r="E228" s="36"/>
      <c r="F228" s="36"/>
      <c r="G228" s="36"/>
      <c r="H228" s="36"/>
      <c r="I228" s="36"/>
      <c r="J228" s="36"/>
      <c r="FW228" s="36"/>
      <c r="FX228" s="36"/>
      <c r="FY228" s="36"/>
      <c r="FZ228" s="36"/>
      <c r="GA228" s="36"/>
      <c r="GB228" s="36"/>
      <c r="GC228" s="36"/>
      <c r="GD228" s="36"/>
      <c r="GE228" s="36"/>
      <c r="GF228" s="36"/>
      <c r="GG228" s="36"/>
      <c r="GH228" s="36"/>
      <c r="GI228" s="36"/>
      <c r="GJ228" s="36"/>
      <c r="GK228" s="36"/>
      <c r="GL228" s="36"/>
      <c r="GM228" s="36"/>
      <c r="GN228" s="36"/>
      <c r="GO228" s="36"/>
      <c r="GP228" s="36"/>
      <c r="GQ228" s="36"/>
      <c r="GR228" s="36"/>
      <c r="GS228" s="36"/>
      <c r="GT228" s="36"/>
      <c r="GU228" s="36"/>
      <c r="GV228" s="36"/>
      <c r="GW228" s="36"/>
      <c r="GX228" s="36"/>
      <c r="GY228" s="36"/>
      <c r="GZ228" s="36"/>
      <c r="HA228" s="36"/>
      <c r="HB228" s="36"/>
      <c r="HC228" s="36"/>
      <c r="HD228" s="36"/>
      <c r="HE228" s="36"/>
      <c r="HF228" s="36"/>
      <c r="HG228" s="36"/>
      <c r="HH228" s="36"/>
      <c r="HI228" s="36"/>
      <c r="HJ228" s="36"/>
      <c r="HK228" s="36"/>
      <c r="HL228" s="36"/>
      <c r="HM228" s="36"/>
      <c r="HN228" s="36"/>
      <c r="HO228" s="36"/>
      <c r="HP228" s="36"/>
      <c r="HQ228" s="36"/>
      <c r="HR228" s="36"/>
      <c r="HS228" s="36"/>
      <c r="HT228" s="36"/>
      <c r="HU228" s="36"/>
      <c r="HV228" s="36"/>
      <c r="HW228" s="36"/>
      <c r="HX228" s="36"/>
      <c r="HY228" s="36"/>
      <c r="HZ228" s="36"/>
      <c r="IA228" s="36"/>
      <c r="IB228" s="36"/>
      <c r="IC228" s="36"/>
      <c r="ID228" s="36"/>
      <c r="IE228" s="36"/>
      <c r="IF228" s="36"/>
      <c r="IG228" s="36"/>
      <c r="IH228" s="36"/>
      <c r="II228" s="36"/>
      <c r="IJ228" s="36"/>
      <c r="IK228" s="36"/>
      <c r="IL228" s="36"/>
      <c r="IM228" s="36"/>
      <c r="IN228" s="36"/>
      <c r="IO228" s="36"/>
      <c r="IP228" s="36"/>
      <c r="IQ228" s="36"/>
      <c r="IR228" s="36"/>
      <c r="IS228" s="36"/>
      <c r="IT228" s="36"/>
      <c r="IU228" s="36"/>
      <c r="IV228" s="36"/>
    </row>
    <row r="229" spans="1:256" s="35" customFormat="1" ht="15">
      <c r="A229" s="36"/>
      <c r="B229" s="141"/>
      <c r="C229" s="36"/>
      <c r="D229" s="36"/>
      <c r="E229" s="36"/>
      <c r="F229" s="36"/>
      <c r="G229" s="36"/>
      <c r="H229" s="36"/>
      <c r="I229" s="36"/>
      <c r="J229" s="36"/>
      <c r="FW229" s="36"/>
      <c r="FX229" s="36"/>
      <c r="FY229" s="36"/>
      <c r="FZ229" s="36"/>
      <c r="GA229" s="36"/>
      <c r="GB229" s="36"/>
      <c r="GC229" s="36"/>
      <c r="GD229" s="36"/>
      <c r="GE229" s="36"/>
      <c r="GF229" s="36"/>
      <c r="GG229" s="36"/>
      <c r="GH229" s="36"/>
      <c r="GI229" s="36"/>
      <c r="GJ229" s="36"/>
      <c r="GK229" s="36"/>
      <c r="GL229" s="36"/>
      <c r="GM229" s="36"/>
      <c r="GN229" s="36"/>
      <c r="GO229" s="36"/>
      <c r="GP229" s="36"/>
      <c r="GQ229" s="36"/>
      <c r="GR229" s="36"/>
      <c r="GS229" s="36"/>
      <c r="GT229" s="36"/>
      <c r="GU229" s="36"/>
      <c r="GV229" s="36"/>
      <c r="GW229" s="36"/>
      <c r="GX229" s="36"/>
      <c r="GY229" s="36"/>
      <c r="GZ229" s="36"/>
      <c r="HA229" s="36"/>
      <c r="HB229" s="36"/>
      <c r="HC229" s="36"/>
      <c r="HD229" s="36"/>
      <c r="HE229" s="36"/>
      <c r="HF229" s="36"/>
      <c r="HG229" s="36"/>
      <c r="HH229" s="36"/>
      <c r="HI229" s="36"/>
      <c r="HJ229" s="36"/>
      <c r="HK229" s="36"/>
      <c r="HL229" s="36"/>
      <c r="HM229" s="36"/>
      <c r="HN229" s="36"/>
      <c r="HO229" s="36"/>
      <c r="HP229" s="36"/>
      <c r="HQ229" s="36"/>
      <c r="HR229" s="36"/>
      <c r="HS229" s="36"/>
      <c r="HT229" s="36"/>
      <c r="HU229" s="36"/>
      <c r="HV229" s="36"/>
      <c r="HW229" s="36"/>
      <c r="HX229" s="36"/>
      <c r="HY229" s="36"/>
      <c r="HZ229" s="36"/>
      <c r="IA229" s="36"/>
      <c r="IB229" s="36"/>
      <c r="IC229" s="36"/>
      <c r="ID229" s="36"/>
      <c r="IE229" s="36"/>
      <c r="IF229" s="36"/>
      <c r="IG229" s="36"/>
      <c r="IH229" s="36"/>
      <c r="II229" s="36"/>
      <c r="IJ229" s="36"/>
      <c r="IK229" s="36"/>
      <c r="IL229" s="36"/>
      <c r="IM229" s="36"/>
      <c r="IN229" s="36"/>
      <c r="IO229" s="36"/>
      <c r="IP229" s="36"/>
      <c r="IQ229" s="36"/>
      <c r="IR229" s="36"/>
      <c r="IS229" s="36"/>
      <c r="IT229" s="36"/>
      <c r="IU229" s="36"/>
      <c r="IV229" s="36"/>
    </row>
    <row r="230" spans="1:256" s="35" customFormat="1" ht="15">
      <c r="A230" s="36"/>
      <c r="B230" s="141"/>
      <c r="C230" s="36"/>
      <c r="D230" s="36"/>
      <c r="E230" s="36"/>
      <c r="F230" s="36"/>
      <c r="G230" s="36"/>
      <c r="H230" s="36"/>
      <c r="I230" s="36"/>
      <c r="J230" s="36"/>
      <c r="FW230" s="36"/>
      <c r="FX230" s="36"/>
      <c r="FY230" s="36"/>
      <c r="FZ230" s="36"/>
      <c r="GA230" s="36"/>
      <c r="GB230" s="36"/>
      <c r="GC230" s="36"/>
      <c r="GD230" s="36"/>
      <c r="GE230" s="36"/>
      <c r="GF230" s="36"/>
      <c r="GG230" s="36"/>
      <c r="GH230" s="36"/>
      <c r="GI230" s="36"/>
      <c r="GJ230" s="36"/>
      <c r="GK230" s="36"/>
      <c r="GL230" s="36"/>
      <c r="GM230" s="36"/>
      <c r="GN230" s="36"/>
      <c r="GO230" s="36"/>
      <c r="GP230" s="36"/>
      <c r="GQ230" s="36"/>
      <c r="GR230" s="36"/>
      <c r="GS230" s="36"/>
      <c r="GT230" s="36"/>
      <c r="GU230" s="36"/>
      <c r="GV230" s="36"/>
      <c r="GW230" s="36"/>
      <c r="GX230" s="36"/>
      <c r="GY230" s="36"/>
      <c r="GZ230" s="36"/>
      <c r="HA230" s="36"/>
      <c r="HB230" s="36"/>
      <c r="HC230" s="36"/>
      <c r="HD230" s="36"/>
      <c r="HE230" s="36"/>
      <c r="HF230" s="36"/>
      <c r="HG230" s="36"/>
      <c r="HH230" s="36"/>
      <c r="HI230" s="36"/>
      <c r="HJ230" s="36"/>
      <c r="HK230" s="36"/>
      <c r="HL230" s="36"/>
      <c r="HM230" s="36"/>
      <c r="HN230" s="36"/>
      <c r="HO230" s="36"/>
      <c r="HP230" s="36"/>
      <c r="HQ230" s="36"/>
      <c r="HR230" s="36"/>
      <c r="HS230" s="36"/>
      <c r="HT230" s="36"/>
      <c r="HU230" s="36"/>
      <c r="HV230" s="36"/>
      <c r="HW230" s="36"/>
      <c r="HX230" s="36"/>
      <c r="HY230" s="36"/>
      <c r="HZ230" s="36"/>
      <c r="IA230" s="36"/>
      <c r="IB230" s="36"/>
      <c r="IC230" s="36"/>
      <c r="ID230" s="36"/>
      <c r="IE230" s="36"/>
      <c r="IF230" s="36"/>
      <c r="IG230" s="36"/>
      <c r="IH230" s="36"/>
      <c r="II230" s="36"/>
      <c r="IJ230" s="36"/>
      <c r="IK230" s="36"/>
      <c r="IL230" s="36"/>
      <c r="IM230" s="36"/>
      <c r="IN230" s="36"/>
      <c r="IO230" s="36"/>
      <c r="IP230" s="36"/>
      <c r="IQ230" s="36"/>
      <c r="IR230" s="36"/>
      <c r="IS230" s="36"/>
      <c r="IT230" s="36"/>
      <c r="IU230" s="36"/>
      <c r="IV230" s="36"/>
    </row>
    <row r="231" spans="1:256" s="35" customFormat="1" ht="15">
      <c r="A231" s="36"/>
      <c r="B231" s="141"/>
      <c r="C231" s="36"/>
      <c r="D231" s="36"/>
      <c r="E231" s="36"/>
      <c r="F231" s="36"/>
      <c r="G231" s="36"/>
      <c r="H231" s="36"/>
      <c r="I231" s="36"/>
      <c r="J231" s="36"/>
      <c r="FW231" s="36"/>
      <c r="FX231" s="36"/>
      <c r="FY231" s="36"/>
      <c r="FZ231" s="36"/>
      <c r="GA231" s="36"/>
      <c r="GB231" s="36"/>
      <c r="GC231" s="36"/>
      <c r="GD231" s="36"/>
      <c r="GE231" s="36"/>
      <c r="GF231" s="36"/>
      <c r="GG231" s="36"/>
      <c r="GH231" s="36"/>
      <c r="GI231" s="36"/>
      <c r="GJ231" s="36"/>
      <c r="GK231" s="36"/>
      <c r="GL231" s="36"/>
      <c r="GM231" s="36"/>
      <c r="GN231" s="36"/>
      <c r="GO231" s="36"/>
      <c r="GP231" s="36"/>
      <c r="GQ231" s="36"/>
      <c r="GR231" s="36"/>
      <c r="GS231" s="36"/>
      <c r="GT231" s="36"/>
      <c r="GU231" s="36"/>
      <c r="GV231" s="36"/>
      <c r="GW231" s="36"/>
      <c r="GX231" s="36"/>
      <c r="GY231" s="36"/>
      <c r="GZ231" s="36"/>
      <c r="HA231" s="36"/>
      <c r="HB231" s="36"/>
      <c r="HC231" s="36"/>
      <c r="HD231" s="36"/>
      <c r="HE231" s="36"/>
      <c r="HF231" s="36"/>
      <c r="HG231" s="36"/>
      <c r="HH231" s="36"/>
      <c r="HI231" s="36"/>
      <c r="HJ231" s="36"/>
      <c r="HK231" s="36"/>
      <c r="HL231" s="36"/>
      <c r="HM231" s="36"/>
      <c r="HN231" s="36"/>
      <c r="HO231" s="36"/>
      <c r="HP231" s="36"/>
      <c r="HQ231" s="36"/>
      <c r="HR231" s="36"/>
      <c r="HS231" s="36"/>
      <c r="HT231" s="36"/>
      <c r="HU231" s="36"/>
      <c r="HV231" s="36"/>
      <c r="HW231" s="36"/>
      <c r="HX231" s="36"/>
      <c r="HY231" s="36"/>
      <c r="HZ231" s="36"/>
      <c r="IA231" s="36"/>
      <c r="IB231" s="36"/>
      <c r="IC231" s="36"/>
      <c r="ID231" s="36"/>
      <c r="IE231" s="36"/>
      <c r="IF231" s="36"/>
      <c r="IG231" s="36"/>
      <c r="IH231" s="36"/>
      <c r="II231" s="36"/>
      <c r="IJ231" s="36"/>
      <c r="IK231" s="36"/>
      <c r="IL231" s="36"/>
      <c r="IM231" s="36"/>
      <c r="IN231" s="36"/>
      <c r="IO231" s="36"/>
      <c r="IP231" s="36"/>
      <c r="IQ231" s="36"/>
      <c r="IR231" s="36"/>
      <c r="IS231" s="36"/>
      <c r="IT231" s="36"/>
      <c r="IU231" s="36"/>
      <c r="IV231" s="36"/>
    </row>
    <row r="232" spans="1:256" s="35" customFormat="1" ht="15">
      <c r="A232" s="36"/>
      <c r="B232" s="141"/>
      <c r="C232" s="36"/>
      <c r="D232" s="36"/>
      <c r="E232" s="36"/>
      <c r="F232" s="36"/>
      <c r="G232" s="36"/>
      <c r="H232" s="36"/>
      <c r="I232" s="36"/>
      <c r="J232" s="36"/>
      <c r="FW232" s="36"/>
      <c r="FX232" s="36"/>
      <c r="FY232" s="36"/>
      <c r="FZ232" s="36"/>
      <c r="GA232" s="36"/>
      <c r="GB232" s="36"/>
      <c r="GC232" s="36"/>
      <c r="GD232" s="36"/>
      <c r="GE232" s="36"/>
      <c r="GF232" s="36"/>
      <c r="GG232" s="36"/>
      <c r="GH232" s="36"/>
      <c r="GI232" s="36"/>
      <c r="GJ232" s="36"/>
      <c r="GK232" s="36"/>
      <c r="GL232" s="36"/>
      <c r="GM232" s="36"/>
      <c r="GN232" s="36"/>
      <c r="GO232" s="36"/>
      <c r="GP232" s="36"/>
      <c r="GQ232" s="36"/>
      <c r="GR232" s="36"/>
      <c r="GS232" s="36"/>
      <c r="GT232" s="36"/>
      <c r="GU232" s="36"/>
      <c r="GV232" s="36"/>
      <c r="GW232" s="36"/>
      <c r="GX232" s="36"/>
      <c r="GY232" s="36"/>
      <c r="GZ232" s="36"/>
      <c r="HA232" s="36"/>
      <c r="HB232" s="36"/>
      <c r="HC232" s="36"/>
      <c r="HD232" s="36"/>
      <c r="HE232" s="36"/>
      <c r="HF232" s="36"/>
      <c r="HG232" s="36"/>
      <c r="HH232" s="36"/>
      <c r="HI232" s="36"/>
      <c r="HJ232" s="36"/>
      <c r="HK232" s="36"/>
      <c r="HL232" s="36"/>
      <c r="HM232" s="36"/>
      <c r="HN232" s="36"/>
      <c r="HO232" s="36"/>
      <c r="HP232" s="36"/>
      <c r="HQ232" s="36"/>
      <c r="HR232" s="36"/>
      <c r="HS232" s="36"/>
      <c r="HT232" s="36"/>
      <c r="HU232" s="36"/>
      <c r="HV232" s="36"/>
      <c r="HW232" s="36"/>
      <c r="HX232" s="36"/>
      <c r="HY232" s="36"/>
      <c r="HZ232" s="36"/>
      <c r="IA232" s="36"/>
      <c r="IB232" s="36"/>
      <c r="IC232" s="36"/>
      <c r="ID232" s="36"/>
      <c r="IE232" s="36"/>
      <c r="IF232" s="36"/>
      <c r="IG232" s="36"/>
      <c r="IH232" s="36"/>
      <c r="II232" s="36"/>
      <c r="IJ232" s="36"/>
      <c r="IK232" s="36"/>
      <c r="IL232" s="36"/>
      <c r="IM232" s="36"/>
      <c r="IN232" s="36"/>
      <c r="IO232" s="36"/>
      <c r="IP232" s="36"/>
      <c r="IQ232" s="36"/>
      <c r="IR232" s="36"/>
      <c r="IS232" s="36"/>
      <c r="IT232" s="36"/>
      <c r="IU232" s="36"/>
      <c r="IV232" s="36"/>
    </row>
    <row r="233" spans="1:256" s="35" customFormat="1" ht="15">
      <c r="A233" s="36"/>
      <c r="B233" s="141"/>
      <c r="C233" s="36"/>
      <c r="D233" s="36"/>
      <c r="E233" s="36"/>
      <c r="F233" s="36"/>
      <c r="G233" s="36"/>
      <c r="H233" s="36"/>
      <c r="I233" s="36"/>
      <c r="J233" s="36"/>
      <c r="FW233" s="36"/>
      <c r="FX233" s="36"/>
      <c r="FY233" s="36"/>
      <c r="FZ233" s="36"/>
      <c r="GA233" s="36"/>
      <c r="GB233" s="36"/>
      <c r="GC233" s="36"/>
      <c r="GD233" s="36"/>
      <c r="GE233" s="36"/>
      <c r="GF233" s="36"/>
      <c r="GG233" s="36"/>
      <c r="GH233" s="36"/>
      <c r="GI233" s="36"/>
      <c r="GJ233" s="36"/>
      <c r="GK233" s="36"/>
      <c r="GL233" s="36"/>
      <c r="GM233" s="36"/>
      <c r="GN233" s="36"/>
      <c r="GO233" s="36"/>
      <c r="GP233" s="36"/>
      <c r="GQ233" s="36"/>
      <c r="GR233" s="36"/>
      <c r="GS233" s="36"/>
      <c r="GT233" s="36"/>
      <c r="GU233" s="36"/>
      <c r="GV233" s="36"/>
      <c r="GW233" s="36"/>
      <c r="GX233" s="36"/>
      <c r="GY233" s="36"/>
      <c r="GZ233" s="36"/>
      <c r="HA233" s="36"/>
      <c r="HB233" s="36"/>
      <c r="HC233" s="36"/>
      <c r="HD233" s="36"/>
      <c r="HE233" s="36"/>
      <c r="HF233" s="36"/>
      <c r="HG233" s="36"/>
      <c r="HH233" s="36"/>
      <c r="HI233" s="36"/>
      <c r="HJ233" s="36"/>
      <c r="HK233" s="36"/>
      <c r="HL233" s="36"/>
      <c r="HM233" s="36"/>
      <c r="HN233" s="36"/>
      <c r="HO233" s="36"/>
      <c r="HP233" s="36"/>
      <c r="HQ233" s="36"/>
      <c r="HR233" s="36"/>
      <c r="HS233" s="36"/>
      <c r="HT233" s="36"/>
      <c r="HU233" s="36"/>
      <c r="HV233" s="36"/>
      <c r="HW233" s="36"/>
      <c r="HX233" s="36"/>
      <c r="HY233" s="36"/>
      <c r="HZ233" s="36"/>
      <c r="IA233" s="36"/>
      <c r="IB233" s="36"/>
      <c r="IC233" s="36"/>
      <c r="ID233" s="36"/>
      <c r="IE233" s="36"/>
      <c r="IF233" s="36"/>
      <c r="IG233" s="36"/>
      <c r="IH233" s="36"/>
      <c r="II233" s="36"/>
      <c r="IJ233" s="36"/>
      <c r="IK233" s="36"/>
      <c r="IL233" s="36"/>
      <c r="IM233" s="36"/>
      <c r="IN233" s="36"/>
      <c r="IO233" s="36"/>
      <c r="IP233" s="36"/>
      <c r="IQ233" s="36"/>
      <c r="IR233" s="36"/>
      <c r="IS233" s="36"/>
      <c r="IT233" s="36"/>
      <c r="IU233" s="36"/>
      <c r="IV233" s="36"/>
    </row>
    <row r="234" spans="1:256" s="35" customFormat="1" ht="15">
      <c r="A234" s="36"/>
      <c r="B234" s="141"/>
      <c r="C234" s="36"/>
      <c r="D234" s="36"/>
      <c r="E234" s="36"/>
      <c r="F234" s="36"/>
      <c r="G234" s="36"/>
      <c r="H234" s="36"/>
      <c r="I234" s="36"/>
      <c r="J234" s="36"/>
      <c r="FW234" s="36"/>
      <c r="FX234" s="36"/>
      <c r="FY234" s="36"/>
      <c r="FZ234" s="36"/>
      <c r="GA234" s="36"/>
      <c r="GB234" s="36"/>
      <c r="GC234" s="36"/>
      <c r="GD234" s="36"/>
      <c r="GE234" s="36"/>
      <c r="GF234" s="36"/>
      <c r="GG234" s="36"/>
      <c r="GH234" s="36"/>
      <c r="GI234" s="36"/>
      <c r="GJ234" s="36"/>
      <c r="GK234" s="36"/>
      <c r="GL234" s="36"/>
      <c r="GM234" s="36"/>
      <c r="GN234" s="36"/>
      <c r="GO234" s="36"/>
      <c r="GP234" s="36"/>
      <c r="GQ234" s="36"/>
      <c r="GR234" s="36"/>
      <c r="GS234" s="36"/>
      <c r="GT234" s="36"/>
      <c r="GU234" s="36"/>
      <c r="GV234" s="36"/>
      <c r="GW234" s="36"/>
      <c r="GX234" s="36"/>
      <c r="GY234" s="36"/>
      <c r="GZ234" s="36"/>
      <c r="HA234" s="36"/>
      <c r="HB234" s="36"/>
      <c r="HC234" s="36"/>
      <c r="HD234" s="36"/>
      <c r="HE234" s="36"/>
      <c r="HF234" s="36"/>
      <c r="HG234" s="36"/>
      <c r="HH234" s="36"/>
      <c r="HI234" s="36"/>
      <c r="HJ234" s="36"/>
      <c r="HK234" s="36"/>
      <c r="HL234" s="36"/>
      <c r="HM234" s="36"/>
      <c r="HN234" s="36"/>
      <c r="HO234" s="36"/>
      <c r="HP234" s="36"/>
      <c r="HQ234" s="36"/>
      <c r="HR234" s="36"/>
      <c r="HS234" s="36"/>
      <c r="HT234" s="36"/>
      <c r="HU234" s="36"/>
      <c r="HV234" s="36"/>
      <c r="HW234" s="36"/>
      <c r="HX234" s="36"/>
      <c r="HY234" s="36"/>
      <c r="HZ234" s="36"/>
      <c r="IA234" s="36"/>
      <c r="IB234" s="36"/>
      <c r="IC234" s="36"/>
      <c r="ID234" s="36"/>
      <c r="IE234" s="36"/>
      <c r="IF234" s="36"/>
      <c r="IG234" s="36"/>
      <c r="IH234" s="36"/>
      <c r="II234" s="36"/>
      <c r="IJ234" s="36"/>
      <c r="IK234" s="36"/>
      <c r="IL234" s="36"/>
      <c r="IM234" s="36"/>
      <c r="IN234" s="36"/>
      <c r="IO234" s="36"/>
      <c r="IP234" s="36"/>
      <c r="IQ234" s="36"/>
      <c r="IR234" s="36"/>
      <c r="IS234" s="36"/>
      <c r="IT234" s="36"/>
      <c r="IU234" s="36"/>
      <c r="IV234" s="36"/>
    </row>
    <row r="235" spans="1:256" s="35" customFormat="1" ht="15">
      <c r="A235" s="36"/>
      <c r="B235" s="141"/>
      <c r="C235" s="36"/>
      <c r="D235" s="36"/>
      <c r="E235" s="36"/>
      <c r="F235" s="36"/>
      <c r="G235" s="36"/>
      <c r="H235" s="36"/>
      <c r="I235" s="36"/>
      <c r="J235" s="36"/>
      <c r="FW235" s="36"/>
      <c r="FX235" s="36"/>
      <c r="FY235" s="36"/>
      <c r="FZ235" s="36"/>
      <c r="GA235" s="36"/>
      <c r="GB235" s="36"/>
      <c r="GC235" s="36"/>
      <c r="GD235" s="36"/>
      <c r="GE235" s="36"/>
      <c r="GF235" s="36"/>
      <c r="GG235" s="36"/>
      <c r="GH235" s="36"/>
      <c r="GI235" s="36"/>
      <c r="GJ235" s="36"/>
      <c r="GK235" s="36"/>
      <c r="GL235" s="36"/>
      <c r="GM235" s="36"/>
      <c r="GN235" s="36"/>
      <c r="GO235" s="36"/>
      <c r="GP235" s="36"/>
      <c r="GQ235" s="36"/>
      <c r="GR235" s="36"/>
      <c r="GS235" s="36"/>
      <c r="GT235" s="36"/>
      <c r="GU235" s="36"/>
      <c r="GV235" s="36"/>
      <c r="GW235" s="36"/>
      <c r="GX235" s="36"/>
      <c r="GY235" s="36"/>
      <c r="GZ235" s="36"/>
      <c r="HA235" s="36"/>
      <c r="HB235" s="36"/>
      <c r="HC235" s="36"/>
      <c r="HD235" s="36"/>
      <c r="HE235" s="36"/>
      <c r="HF235" s="36"/>
      <c r="HG235" s="36"/>
      <c r="HH235" s="36"/>
      <c r="HI235" s="36"/>
      <c r="HJ235" s="36"/>
      <c r="HK235" s="36"/>
      <c r="HL235" s="36"/>
      <c r="HM235" s="36"/>
      <c r="HN235" s="36"/>
      <c r="HO235" s="36"/>
      <c r="HP235" s="36"/>
      <c r="HQ235" s="36"/>
      <c r="HR235" s="36"/>
      <c r="HS235" s="36"/>
      <c r="HT235" s="36"/>
      <c r="HU235" s="36"/>
      <c r="HV235" s="36"/>
      <c r="HW235" s="36"/>
      <c r="HX235" s="36"/>
      <c r="HY235" s="36"/>
      <c r="HZ235" s="36"/>
      <c r="IA235" s="36"/>
      <c r="IB235" s="36"/>
      <c r="IC235" s="36"/>
      <c r="ID235" s="36"/>
      <c r="IE235" s="36"/>
      <c r="IF235" s="36"/>
      <c r="IG235" s="36"/>
      <c r="IH235" s="36"/>
      <c r="II235" s="36"/>
      <c r="IJ235" s="36"/>
      <c r="IK235" s="36"/>
      <c r="IL235" s="36"/>
      <c r="IM235" s="36"/>
      <c r="IN235" s="36"/>
      <c r="IO235" s="36"/>
      <c r="IP235" s="36"/>
      <c r="IQ235" s="36"/>
      <c r="IR235" s="36"/>
      <c r="IS235" s="36"/>
      <c r="IT235" s="36"/>
      <c r="IU235" s="36"/>
      <c r="IV235" s="36"/>
    </row>
    <row r="236" spans="1:256" s="35" customFormat="1" ht="15">
      <c r="A236" s="36"/>
      <c r="B236" s="141"/>
      <c r="C236" s="36"/>
      <c r="D236" s="36"/>
      <c r="E236" s="36"/>
      <c r="F236" s="36"/>
      <c r="G236" s="36"/>
      <c r="H236" s="36"/>
      <c r="I236" s="36"/>
      <c r="J236" s="36"/>
      <c r="FW236" s="36"/>
      <c r="FX236" s="36"/>
      <c r="FY236" s="36"/>
      <c r="FZ236" s="36"/>
      <c r="GA236" s="36"/>
      <c r="GB236" s="36"/>
      <c r="GC236" s="36"/>
      <c r="GD236" s="36"/>
      <c r="GE236" s="36"/>
      <c r="GF236" s="36"/>
      <c r="GG236" s="36"/>
      <c r="GH236" s="36"/>
      <c r="GI236" s="36"/>
      <c r="GJ236" s="36"/>
      <c r="GK236" s="36"/>
      <c r="GL236" s="36"/>
      <c r="GM236" s="36"/>
      <c r="GN236" s="36"/>
      <c r="GO236" s="36"/>
      <c r="GP236" s="36"/>
      <c r="GQ236" s="36"/>
      <c r="GR236" s="36"/>
      <c r="GS236" s="36"/>
      <c r="GT236" s="36"/>
      <c r="GU236" s="36"/>
      <c r="GV236" s="36"/>
      <c r="GW236" s="36"/>
      <c r="GX236" s="36"/>
      <c r="GY236" s="36"/>
      <c r="GZ236" s="36"/>
      <c r="HA236" s="36"/>
      <c r="HB236" s="36"/>
      <c r="HC236" s="36"/>
      <c r="HD236" s="36"/>
      <c r="HE236" s="36"/>
      <c r="HF236" s="36"/>
      <c r="HG236" s="36"/>
      <c r="HH236" s="36"/>
      <c r="HI236" s="36"/>
      <c r="HJ236" s="36"/>
      <c r="HK236" s="36"/>
      <c r="HL236" s="36"/>
      <c r="HM236" s="36"/>
      <c r="HN236" s="36"/>
      <c r="HO236" s="36"/>
      <c r="HP236" s="36"/>
      <c r="HQ236" s="36"/>
      <c r="HR236" s="36"/>
      <c r="HS236" s="36"/>
      <c r="HT236" s="36"/>
      <c r="HU236" s="36"/>
      <c r="HV236" s="36"/>
      <c r="HW236" s="36"/>
      <c r="HX236" s="36"/>
      <c r="HY236" s="36"/>
      <c r="HZ236" s="36"/>
      <c r="IA236" s="36"/>
      <c r="IB236" s="36"/>
      <c r="IC236" s="36"/>
      <c r="ID236" s="36"/>
      <c r="IE236" s="36"/>
      <c r="IF236" s="36"/>
      <c r="IG236" s="36"/>
      <c r="IH236" s="36"/>
      <c r="II236" s="36"/>
      <c r="IJ236" s="36"/>
      <c r="IK236" s="36"/>
      <c r="IL236" s="36"/>
      <c r="IM236" s="36"/>
      <c r="IN236" s="36"/>
      <c r="IO236" s="36"/>
      <c r="IP236" s="36"/>
      <c r="IQ236" s="36"/>
      <c r="IR236" s="36"/>
      <c r="IS236" s="36"/>
      <c r="IT236" s="36"/>
      <c r="IU236" s="36"/>
      <c r="IV236" s="36"/>
    </row>
    <row r="237" spans="1:256" s="35" customFormat="1" ht="15">
      <c r="A237" s="36"/>
      <c r="B237" s="141"/>
      <c r="C237" s="36"/>
      <c r="D237" s="36"/>
      <c r="E237" s="36"/>
      <c r="F237" s="36"/>
      <c r="G237" s="36"/>
      <c r="H237" s="36"/>
      <c r="I237" s="36"/>
      <c r="J237" s="36"/>
      <c r="FW237" s="36"/>
      <c r="FX237" s="36"/>
      <c r="FY237" s="36"/>
      <c r="FZ237" s="36"/>
      <c r="GA237" s="36"/>
      <c r="GB237" s="36"/>
      <c r="GC237" s="36"/>
      <c r="GD237" s="36"/>
      <c r="GE237" s="36"/>
      <c r="GF237" s="36"/>
      <c r="GG237" s="36"/>
      <c r="GH237" s="36"/>
      <c r="GI237" s="36"/>
      <c r="GJ237" s="36"/>
      <c r="GK237" s="36"/>
      <c r="GL237" s="36"/>
      <c r="GM237" s="36"/>
      <c r="GN237" s="36"/>
      <c r="GO237" s="36"/>
      <c r="GP237" s="36"/>
      <c r="GQ237" s="36"/>
      <c r="GR237" s="36"/>
      <c r="GS237" s="36"/>
      <c r="GT237" s="36"/>
      <c r="GU237" s="36"/>
      <c r="GV237" s="36"/>
      <c r="GW237" s="36"/>
      <c r="GX237" s="36"/>
      <c r="GY237" s="36"/>
      <c r="GZ237" s="36"/>
      <c r="HA237" s="36"/>
      <c r="HB237" s="36"/>
      <c r="HC237" s="36"/>
      <c r="HD237" s="36"/>
      <c r="HE237" s="36"/>
      <c r="HF237" s="36"/>
      <c r="HG237" s="36"/>
      <c r="HH237" s="36"/>
      <c r="HI237" s="36"/>
      <c r="HJ237" s="36"/>
      <c r="HK237" s="36"/>
      <c r="HL237" s="36"/>
      <c r="HM237" s="36"/>
      <c r="HN237" s="36"/>
      <c r="HO237" s="36"/>
      <c r="HP237" s="36"/>
      <c r="HQ237" s="36"/>
      <c r="HR237" s="36"/>
      <c r="HS237" s="36"/>
      <c r="HT237" s="36"/>
      <c r="HU237" s="36"/>
      <c r="HV237" s="36"/>
      <c r="HW237" s="36"/>
      <c r="HX237" s="36"/>
      <c r="HY237" s="36"/>
      <c r="HZ237" s="36"/>
      <c r="IA237" s="36"/>
      <c r="IB237" s="36"/>
      <c r="IC237" s="36"/>
      <c r="ID237" s="36"/>
      <c r="IE237" s="36"/>
      <c r="IF237" s="36"/>
      <c r="IG237" s="36"/>
      <c r="IH237" s="36"/>
      <c r="II237" s="36"/>
      <c r="IJ237" s="36"/>
      <c r="IK237" s="36"/>
      <c r="IL237" s="36"/>
      <c r="IM237" s="36"/>
      <c r="IN237" s="36"/>
      <c r="IO237" s="36"/>
      <c r="IP237" s="36"/>
      <c r="IQ237" s="36"/>
      <c r="IR237" s="36"/>
      <c r="IS237" s="36"/>
      <c r="IT237" s="36"/>
      <c r="IU237" s="36"/>
      <c r="IV237" s="36"/>
    </row>
    <row r="238" spans="1:256" s="35" customFormat="1" ht="15">
      <c r="A238" s="36"/>
      <c r="B238" s="141"/>
      <c r="C238" s="36"/>
      <c r="D238" s="36"/>
      <c r="E238" s="36"/>
      <c r="F238" s="36"/>
      <c r="G238" s="36"/>
      <c r="H238" s="36"/>
      <c r="I238" s="36"/>
      <c r="J238" s="36"/>
      <c r="FW238" s="36"/>
      <c r="FX238" s="36"/>
      <c r="FY238" s="36"/>
      <c r="FZ238" s="36"/>
      <c r="GA238" s="36"/>
      <c r="GB238" s="36"/>
      <c r="GC238" s="36"/>
      <c r="GD238" s="36"/>
      <c r="GE238" s="36"/>
      <c r="GF238" s="36"/>
      <c r="GG238" s="36"/>
      <c r="GH238" s="36"/>
      <c r="GI238" s="36"/>
      <c r="GJ238" s="36"/>
      <c r="GK238" s="36"/>
      <c r="GL238" s="36"/>
      <c r="GM238" s="36"/>
      <c r="GN238" s="36"/>
      <c r="GO238" s="36"/>
      <c r="GP238" s="36"/>
      <c r="GQ238" s="36"/>
      <c r="GR238" s="36"/>
      <c r="GS238" s="36"/>
      <c r="GT238" s="36"/>
      <c r="GU238" s="36"/>
      <c r="GV238" s="36"/>
      <c r="GW238" s="36"/>
      <c r="GX238" s="36"/>
      <c r="GY238" s="36"/>
      <c r="GZ238" s="36"/>
      <c r="HA238" s="36"/>
      <c r="HB238" s="36"/>
      <c r="HC238" s="36"/>
      <c r="HD238" s="36"/>
      <c r="HE238" s="36"/>
      <c r="HF238" s="36"/>
      <c r="HG238" s="36"/>
      <c r="HH238" s="36"/>
      <c r="HI238" s="36"/>
      <c r="HJ238" s="36"/>
      <c r="HK238" s="36"/>
      <c r="HL238" s="36"/>
      <c r="HM238" s="36"/>
      <c r="HN238" s="36"/>
      <c r="HO238" s="36"/>
      <c r="HP238" s="36"/>
      <c r="HQ238" s="36"/>
      <c r="HR238" s="36"/>
      <c r="HS238" s="36"/>
      <c r="HT238" s="36"/>
      <c r="HU238" s="36"/>
      <c r="HV238" s="36"/>
      <c r="HW238" s="36"/>
      <c r="HX238" s="36"/>
      <c r="HY238" s="36"/>
      <c r="HZ238" s="36"/>
      <c r="IA238" s="36"/>
      <c r="IB238" s="36"/>
      <c r="IC238" s="36"/>
      <c r="ID238" s="36"/>
      <c r="IE238" s="36"/>
      <c r="IF238" s="36"/>
      <c r="IG238" s="36"/>
      <c r="IH238" s="36"/>
      <c r="II238" s="36"/>
      <c r="IJ238" s="36"/>
      <c r="IK238" s="36"/>
      <c r="IL238" s="36"/>
      <c r="IM238" s="36"/>
      <c r="IN238" s="36"/>
      <c r="IO238" s="36"/>
      <c r="IP238" s="36"/>
      <c r="IQ238" s="36"/>
      <c r="IR238" s="36"/>
      <c r="IS238" s="36"/>
      <c r="IT238" s="36"/>
      <c r="IU238" s="36"/>
      <c r="IV238" s="36"/>
    </row>
    <row r="239" spans="1:256" s="35" customFormat="1" ht="15">
      <c r="A239" s="36"/>
      <c r="B239" s="141"/>
      <c r="C239" s="36"/>
      <c r="D239" s="36"/>
      <c r="E239" s="36"/>
      <c r="F239" s="36"/>
      <c r="G239" s="36"/>
      <c r="H239" s="36"/>
      <c r="I239" s="36"/>
      <c r="J239" s="36"/>
      <c r="FW239" s="36"/>
      <c r="FX239" s="36"/>
      <c r="FY239" s="36"/>
      <c r="FZ239" s="36"/>
      <c r="GA239" s="36"/>
      <c r="GB239" s="36"/>
      <c r="GC239" s="36"/>
      <c r="GD239" s="36"/>
      <c r="GE239" s="36"/>
      <c r="GF239" s="36"/>
      <c r="GG239" s="36"/>
      <c r="GH239" s="36"/>
      <c r="GI239" s="36"/>
      <c r="GJ239" s="36"/>
      <c r="GK239" s="36"/>
      <c r="GL239" s="36"/>
      <c r="GM239" s="36"/>
      <c r="GN239" s="36"/>
      <c r="GO239" s="36"/>
      <c r="GP239" s="36"/>
      <c r="GQ239" s="36"/>
      <c r="GR239" s="36"/>
      <c r="GS239" s="36"/>
      <c r="GT239" s="36"/>
      <c r="GU239" s="36"/>
      <c r="GV239" s="36"/>
      <c r="GW239" s="36"/>
      <c r="GX239" s="36"/>
      <c r="GY239" s="36"/>
      <c r="GZ239" s="36"/>
      <c r="HA239" s="36"/>
      <c r="HB239" s="36"/>
      <c r="HC239" s="36"/>
      <c r="HD239" s="36"/>
      <c r="HE239" s="36"/>
      <c r="HF239" s="36"/>
      <c r="HG239" s="36"/>
      <c r="HH239" s="36"/>
      <c r="HI239" s="36"/>
      <c r="HJ239" s="36"/>
      <c r="HK239" s="36"/>
      <c r="HL239" s="36"/>
      <c r="HM239" s="36"/>
      <c r="HN239" s="36"/>
      <c r="HO239" s="36"/>
      <c r="HP239" s="36"/>
      <c r="HQ239" s="36"/>
      <c r="HR239" s="36"/>
      <c r="HS239" s="36"/>
      <c r="HT239" s="36"/>
      <c r="HU239" s="36"/>
      <c r="HV239" s="36"/>
      <c r="HW239" s="36"/>
      <c r="HX239" s="36"/>
      <c r="HY239" s="36"/>
      <c r="HZ239" s="36"/>
      <c r="IA239" s="36"/>
      <c r="IB239" s="36"/>
      <c r="IC239" s="36"/>
      <c r="ID239" s="36"/>
      <c r="IE239" s="36"/>
      <c r="IF239" s="36"/>
      <c r="IG239" s="36"/>
      <c r="IH239" s="36"/>
      <c r="II239" s="36"/>
      <c r="IJ239" s="36"/>
      <c r="IK239" s="36"/>
      <c r="IL239" s="36"/>
      <c r="IM239" s="36"/>
      <c r="IN239" s="36"/>
      <c r="IO239" s="36"/>
      <c r="IP239" s="36"/>
      <c r="IQ239" s="36"/>
      <c r="IR239" s="36"/>
      <c r="IS239" s="36"/>
      <c r="IT239" s="36"/>
      <c r="IU239" s="36"/>
      <c r="IV239" s="36"/>
    </row>
    <row r="240" spans="1:256" s="35" customFormat="1" ht="15">
      <c r="A240" s="36"/>
      <c r="B240" s="141"/>
      <c r="C240" s="36"/>
      <c r="D240" s="36"/>
      <c r="E240" s="36"/>
      <c r="F240" s="36"/>
      <c r="G240" s="36"/>
      <c r="H240" s="36"/>
      <c r="I240" s="36"/>
      <c r="J240" s="36"/>
      <c r="FW240" s="36"/>
      <c r="FX240" s="36"/>
      <c r="FY240" s="36"/>
      <c r="FZ240" s="36"/>
      <c r="GA240" s="36"/>
      <c r="GB240" s="36"/>
      <c r="GC240" s="36"/>
      <c r="GD240" s="36"/>
      <c r="GE240" s="36"/>
      <c r="GF240" s="36"/>
      <c r="GG240" s="36"/>
      <c r="GH240" s="36"/>
      <c r="GI240" s="36"/>
      <c r="GJ240" s="36"/>
      <c r="GK240" s="36"/>
      <c r="GL240" s="36"/>
      <c r="GM240" s="36"/>
      <c r="GN240" s="36"/>
      <c r="GO240" s="36"/>
      <c r="GP240" s="36"/>
      <c r="GQ240" s="36"/>
      <c r="GR240" s="36"/>
      <c r="GS240" s="36"/>
      <c r="GT240" s="36"/>
      <c r="GU240" s="36"/>
      <c r="GV240" s="36"/>
      <c r="GW240" s="36"/>
      <c r="GX240" s="36"/>
      <c r="GY240" s="36"/>
      <c r="GZ240" s="36"/>
      <c r="HA240" s="36"/>
      <c r="HB240" s="36"/>
      <c r="HC240" s="36"/>
      <c r="HD240" s="36"/>
      <c r="HE240" s="36"/>
      <c r="HF240" s="36"/>
      <c r="HG240" s="36"/>
      <c r="HH240" s="36"/>
      <c r="HI240" s="36"/>
      <c r="HJ240" s="36"/>
      <c r="HK240" s="36"/>
      <c r="HL240" s="36"/>
      <c r="HM240" s="36"/>
      <c r="HN240" s="36"/>
      <c r="HO240" s="36"/>
      <c r="HP240" s="36"/>
      <c r="HQ240" s="36"/>
      <c r="HR240" s="36"/>
      <c r="HS240" s="36"/>
      <c r="HT240" s="36"/>
      <c r="HU240" s="36"/>
      <c r="HV240" s="36"/>
      <c r="HW240" s="36"/>
      <c r="HX240" s="36"/>
      <c r="HY240" s="36"/>
      <c r="HZ240" s="36"/>
      <c r="IA240" s="36"/>
      <c r="IB240" s="36"/>
      <c r="IC240" s="36"/>
      <c r="ID240" s="36"/>
      <c r="IE240" s="36"/>
      <c r="IF240" s="36"/>
      <c r="IG240" s="36"/>
      <c r="IH240" s="36"/>
      <c r="II240" s="36"/>
      <c r="IJ240" s="36"/>
      <c r="IK240" s="36"/>
      <c r="IL240" s="36"/>
      <c r="IM240" s="36"/>
      <c r="IN240" s="36"/>
      <c r="IO240" s="36"/>
      <c r="IP240" s="36"/>
      <c r="IQ240" s="36"/>
      <c r="IR240" s="36"/>
      <c r="IS240" s="36"/>
      <c r="IT240" s="36"/>
      <c r="IU240" s="36"/>
      <c r="IV240" s="36"/>
    </row>
    <row r="241" spans="1:256" s="35" customFormat="1" ht="15">
      <c r="A241" s="36"/>
      <c r="B241" s="141"/>
      <c r="C241" s="36"/>
      <c r="D241" s="36"/>
      <c r="E241" s="36"/>
      <c r="F241" s="36"/>
      <c r="G241" s="36"/>
      <c r="H241" s="36"/>
      <c r="I241" s="36"/>
      <c r="J241" s="36"/>
      <c r="FW241" s="36"/>
      <c r="FX241" s="36"/>
      <c r="FY241" s="36"/>
      <c r="FZ241" s="36"/>
      <c r="GA241" s="36"/>
      <c r="GB241" s="36"/>
      <c r="GC241" s="36"/>
      <c r="GD241" s="36"/>
      <c r="GE241" s="36"/>
      <c r="GF241" s="36"/>
      <c r="GG241" s="36"/>
      <c r="GH241" s="36"/>
      <c r="GI241" s="36"/>
      <c r="GJ241" s="36"/>
      <c r="GK241" s="36"/>
      <c r="GL241" s="36"/>
      <c r="GM241" s="36"/>
      <c r="GN241" s="36"/>
      <c r="GO241" s="36"/>
      <c r="GP241" s="36"/>
      <c r="GQ241" s="36"/>
      <c r="GR241" s="36"/>
      <c r="GS241" s="36"/>
      <c r="GT241" s="36"/>
      <c r="GU241" s="36"/>
      <c r="GV241" s="36"/>
      <c r="GW241" s="36"/>
      <c r="GX241" s="36"/>
      <c r="GY241" s="36"/>
      <c r="GZ241" s="36"/>
      <c r="HA241" s="36"/>
      <c r="HB241" s="36"/>
      <c r="HC241" s="36"/>
      <c r="HD241" s="36"/>
      <c r="HE241" s="36"/>
      <c r="HF241" s="36"/>
      <c r="HG241" s="36"/>
      <c r="HH241" s="36"/>
      <c r="HI241" s="36"/>
      <c r="HJ241" s="36"/>
      <c r="HK241" s="36"/>
      <c r="HL241" s="36"/>
      <c r="HM241" s="36"/>
      <c r="HN241" s="36"/>
      <c r="HO241" s="36"/>
      <c r="HP241" s="36"/>
      <c r="HQ241" s="36"/>
      <c r="HR241" s="36"/>
      <c r="HS241" s="36"/>
      <c r="HT241" s="36"/>
      <c r="HU241" s="36"/>
      <c r="HV241" s="36"/>
      <c r="HW241" s="36"/>
      <c r="HX241" s="36"/>
      <c r="HY241" s="36"/>
      <c r="HZ241" s="36"/>
      <c r="IA241" s="36"/>
      <c r="IB241" s="36"/>
      <c r="IC241" s="36"/>
      <c r="ID241" s="36"/>
      <c r="IE241" s="36"/>
      <c r="IF241" s="36"/>
      <c r="IG241" s="36"/>
      <c r="IH241" s="36"/>
      <c r="II241" s="36"/>
      <c r="IJ241" s="36"/>
      <c r="IK241" s="36"/>
      <c r="IL241" s="36"/>
      <c r="IM241" s="36"/>
      <c r="IN241" s="36"/>
      <c r="IO241" s="36"/>
      <c r="IP241" s="36"/>
      <c r="IQ241" s="36"/>
      <c r="IR241" s="36"/>
      <c r="IS241" s="36"/>
      <c r="IT241" s="36"/>
      <c r="IU241" s="36"/>
      <c r="IV241" s="36"/>
    </row>
    <row r="242" spans="1:256" s="35" customFormat="1" ht="15">
      <c r="A242" s="36"/>
      <c r="B242" s="141"/>
      <c r="C242" s="36"/>
      <c r="D242" s="36"/>
      <c r="E242" s="36"/>
      <c r="F242" s="36"/>
      <c r="G242" s="36"/>
      <c r="H242" s="36"/>
      <c r="I242" s="36"/>
      <c r="J242" s="36"/>
      <c r="FW242" s="36"/>
      <c r="FX242" s="36"/>
      <c r="FY242" s="36"/>
      <c r="FZ242" s="36"/>
      <c r="GA242" s="36"/>
      <c r="GB242" s="36"/>
      <c r="GC242" s="36"/>
      <c r="GD242" s="36"/>
      <c r="GE242" s="36"/>
      <c r="GF242" s="36"/>
      <c r="GG242" s="36"/>
      <c r="GH242" s="36"/>
      <c r="GI242" s="36"/>
      <c r="GJ242" s="36"/>
      <c r="GK242" s="36"/>
      <c r="GL242" s="36"/>
      <c r="GM242" s="36"/>
      <c r="GN242" s="36"/>
      <c r="GO242" s="36"/>
      <c r="GP242" s="36"/>
      <c r="GQ242" s="36"/>
      <c r="GR242" s="36"/>
      <c r="GS242" s="36"/>
      <c r="GT242" s="36"/>
      <c r="GU242" s="36"/>
      <c r="GV242" s="36"/>
      <c r="GW242" s="36"/>
      <c r="GX242" s="36"/>
      <c r="GY242" s="36"/>
      <c r="GZ242" s="36"/>
      <c r="HA242" s="36"/>
      <c r="HB242" s="36"/>
      <c r="HC242" s="36"/>
      <c r="HD242" s="36"/>
      <c r="HE242" s="36"/>
      <c r="HF242" s="36"/>
      <c r="HG242" s="36"/>
      <c r="HH242" s="36"/>
      <c r="HI242" s="36"/>
      <c r="HJ242" s="36"/>
      <c r="HK242" s="36"/>
      <c r="HL242" s="36"/>
      <c r="HM242" s="36"/>
      <c r="HN242" s="36"/>
      <c r="HO242" s="36"/>
      <c r="HP242" s="36"/>
      <c r="HQ242" s="36"/>
      <c r="HR242" s="36"/>
      <c r="HS242" s="36"/>
      <c r="HT242" s="36"/>
      <c r="HU242" s="36"/>
      <c r="HV242" s="36"/>
      <c r="HW242" s="36"/>
      <c r="HX242" s="36"/>
      <c r="HY242" s="36"/>
      <c r="HZ242" s="36"/>
      <c r="IA242" s="36"/>
      <c r="IB242" s="36"/>
      <c r="IC242" s="36"/>
      <c r="ID242" s="36"/>
      <c r="IE242" s="36"/>
      <c r="IF242" s="36"/>
      <c r="IG242" s="36"/>
      <c r="IH242" s="36"/>
      <c r="II242" s="36"/>
      <c r="IJ242" s="36"/>
      <c r="IK242" s="36"/>
      <c r="IL242" s="36"/>
      <c r="IM242" s="36"/>
      <c r="IN242" s="36"/>
      <c r="IO242" s="36"/>
      <c r="IP242" s="36"/>
      <c r="IQ242" s="36"/>
      <c r="IR242" s="36"/>
      <c r="IS242" s="36"/>
      <c r="IT242" s="36"/>
      <c r="IU242" s="36"/>
      <c r="IV242" s="36"/>
    </row>
    <row r="243" spans="1:256" s="35" customFormat="1" ht="15">
      <c r="A243" s="36"/>
      <c r="B243" s="141"/>
      <c r="C243" s="36"/>
      <c r="D243" s="36"/>
      <c r="E243" s="36"/>
      <c r="F243" s="36"/>
      <c r="G243" s="36"/>
      <c r="H243" s="36"/>
      <c r="I243" s="36"/>
      <c r="J243" s="36"/>
      <c r="FW243" s="36"/>
      <c r="FX243" s="36"/>
      <c r="FY243" s="36"/>
      <c r="FZ243" s="36"/>
      <c r="GA243" s="36"/>
      <c r="GB243" s="36"/>
      <c r="GC243" s="36"/>
      <c r="GD243" s="36"/>
      <c r="GE243" s="36"/>
      <c r="GF243" s="36"/>
      <c r="GG243" s="36"/>
      <c r="GH243" s="36"/>
      <c r="GI243" s="36"/>
      <c r="GJ243" s="36"/>
      <c r="GK243" s="36"/>
      <c r="GL243" s="36"/>
      <c r="GM243" s="36"/>
      <c r="GN243" s="36"/>
      <c r="GO243" s="36"/>
      <c r="GP243" s="36"/>
      <c r="GQ243" s="36"/>
      <c r="GR243" s="36"/>
      <c r="GS243" s="36"/>
      <c r="GT243" s="36"/>
      <c r="GU243" s="36"/>
      <c r="GV243" s="36"/>
      <c r="GW243" s="36"/>
      <c r="GX243" s="36"/>
      <c r="GY243" s="36"/>
      <c r="GZ243" s="36"/>
      <c r="HA243" s="36"/>
      <c r="HB243" s="36"/>
      <c r="HC243" s="36"/>
      <c r="HD243" s="36"/>
      <c r="HE243" s="36"/>
      <c r="HF243" s="36"/>
      <c r="HG243" s="36"/>
      <c r="HH243" s="36"/>
      <c r="HI243" s="36"/>
      <c r="HJ243" s="36"/>
      <c r="HK243" s="36"/>
      <c r="HL243" s="36"/>
      <c r="HM243" s="36"/>
      <c r="HN243" s="36"/>
      <c r="HO243" s="36"/>
      <c r="HP243" s="36"/>
      <c r="HQ243" s="36"/>
      <c r="HR243" s="36"/>
      <c r="HS243" s="36"/>
      <c r="HT243" s="36"/>
      <c r="HU243" s="36"/>
      <c r="HV243" s="36"/>
      <c r="HW243" s="36"/>
      <c r="HX243" s="36"/>
      <c r="HY243" s="36"/>
      <c r="HZ243" s="36"/>
      <c r="IA243" s="36"/>
      <c r="IB243" s="36"/>
      <c r="IC243" s="36"/>
      <c r="ID243" s="36"/>
      <c r="IE243" s="36"/>
      <c r="IF243" s="36"/>
      <c r="IG243" s="36"/>
      <c r="IH243" s="36"/>
      <c r="II243" s="36"/>
      <c r="IJ243" s="36"/>
      <c r="IK243" s="36"/>
      <c r="IL243" s="36"/>
      <c r="IM243" s="36"/>
      <c r="IN243" s="36"/>
      <c r="IO243" s="36"/>
      <c r="IP243" s="36"/>
      <c r="IQ243" s="36"/>
      <c r="IR243" s="36"/>
      <c r="IS243" s="36"/>
      <c r="IT243" s="36"/>
      <c r="IU243" s="36"/>
      <c r="IV243" s="36"/>
    </row>
    <row r="244" spans="1:256" s="35" customFormat="1" ht="15">
      <c r="A244" s="36"/>
      <c r="B244" s="141"/>
      <c r="C244" s="36"/>
      <c r="D244" s="36"/>
      <c r="E244" s="36"/>
      <c r="F244" s="36"/>
      <c r="G244" s="36"/>
      <c r="H244" s="36"/>
      <c r="I244" s="36"/>
      <c r="J244" s="36"/>
      <c r="FW244" s="36"/>
      <c r="FX244" s="36"/>
      <c r="FY244" s="36"/>
      <c r="FZ244" s="36"/>
      <c r="GA244" s="36"/>
      <c r="GB244" s="36"/>
      <c r="GC244" s="36"/>
      <c r="GD244" s="36"/>
      <c r="GE244" s="36"/>
      <c r="GF244" s="36"/>
      <c r="GG244" s="36"/>
      <c r="GH244" s="36"/>
      <c r="GI244" s="36"/>
      <c r="GJ244" s="36"/>
      <c r="GK244" s="36"/>
      <c r="GL244" s="36"/>
      <c r="GM244" s="36"/>
      <c r="GN244" s="36"/>
      <c r="GO244" s="36"/>
      <c r="GP244" s="36"/>
      <c r="GQ244" s="36"/>
      <c r="GR244" s="36"/>
      <c r="GS244" s="36"/>
      <c r="GT244" s="36"/>
      <c r="GU244" s="36"/>
      <c r="GV244" s="36"/>
      <c r="GW244" s="36"/>
      <c r="GX244" s="36"/>
      <c r="GY244" s="36"/>
      <c r="GZ244" s="36"/>
      <c r="HA244" s="36"/>
      <c r="HB244" s="36"/>
      <c r="HC244" s="36"/>
      <c r="HD244" s="36"/>
      <c r="HE244" s="36"/>
      <c r="HF244" s="36"/>
      <c r="HG244" s="36"/>
      <c r="HH244" s="36"/>
      <c r="HI244" s="36"/>
      <c r="HJ244" s="36"/>
      <c r="HK244" s="36"/>
      <c r="HL244" s="36"/>
      <c r="HM244" s="36"/>
      <c r="HN244" s="36"/>
      <c r="HO244" s="36"/>
      <c r="HP244" s="36"/>
      <c r="HQ244" s="36"/>
      <c r="HR244" s="36"/>
      <c r="HS244" s="36"/>
      <c r="HT244" s="36"/>
      <c r="HU244" s="36"/>
      <c r="HV244" s="36"/>
      <c r="HW244" s="36"/>
      <c r="HX244" s="36"/>
      <c r="HY244" s="36"/>
      <c r="HZ244" s="36"/>
      <c r="IA244" s="36"/>
      <c r="IB244" s="36"/>
      <c r="IC244" s="36"/>
      <c r="ID244" s="36"/>
      <c r="IE244" s="36"/>
      <c r="IF244" s="36"/>
      <c r="IG244" s="36"/>
      <c r="IH244" s="36"/>
      <c r="II244" s="36"/>
      <c r="IJ244" s="36"/>
      <c r="IK244" s="36"/>
      <c r="IL244" s="36"/>
      <c r="IM244" s="36"/>
      <c r="IN244" s="36"/>
      <c r="IO244" s="36"/>
      <c r="IP244" s="36"/>
      <c r="IQ244" s="36"/>
      <c r="IR244" s="36"/>
      <c r="IS244" s="36"/>
      <c r="IT244" s="36"/>
      <c r="IU244" s="36"/>
      <c r="IV244" s="36"/>
    </row>
    <row r="245" spans="1:256" s="35" customFormat="1" ht="15">
      <c r="A245" s="36"/>
      <c r="B245" s="141"/>
      <c r="C245" s="36"/>
      <c r="D245" s="36"/>
      <c r="E245" s="36"/>
      <c r="F245" s="36"/>
      <c r="G245" s="36"/>
      <c r="H245" s="36"/>
      <c r="I245" s="36"/>
      <c r="J245" s="36"/>
      <c r="FW245" s="36"/>
      <c r="FX245" s="36"/>
      <c r="FY245" s="36"/>
      <c r="FZ245" s="36"/>
      <c r="GA245" s="36"/>
      <c r="GB245" s="36"/>
      <c r="GC245" s="36"/>
      <c r="GD245" s="36"/>
      <c r="GE245" s="36"/>
      <c r="GF245" s="36"/>
      <c r="GG245" s="36"/>
      <c r="GH245" s="36"/>
      <c r="GI245" s="36"/>
      <c r="GJ245" s="36"/>
      <c r="GK245" s="36"/>
      <c r="GL245" s="36"/>
      <c r="GM245" s="36"/>
      <c r="GN245" s="36"/>
      <c r="GO245" s="36"/>
      <c r="GP245" s="36"/>
      <c r="GQ245" s="36"/>
      <c r="GR245" s="36"/>
      <c r="GS245" s="36"/>
      <c r="GT245" s="36"/>
      <c r="GU245" s="36"/>
      <c r="GV245" s="36"/>
      <c r="GW245" s="36"/>
      <c r="GX245" s="36"/>
      <c r="GY245" s="36"/>
      <c r="GZ245" s="36"/>
      <c r="HA245" s="36"/>
      <c r="HB245" s="36"/>
      <c r="HC245" s="36"/>
      <c r="HD245" s="36"/>
      <c r="HE245" s="36"/>
      <c r="HF245" s="36"/>
      <c r="HG245" s="36"/>
      <c r="HH245" s="36"/>
      <c r="HI245" s="36"/>
      <c r="HJ245" s="36"/>
      <c r="HK245" s="36"/>
      <c r="HL245" s="36"/>
      <c r="HM245" s="36"/>
      <c r="HN245" s="36"/>
      <c r="HO245" s="36"/>
      <c r="HP245" s="36"/>
      <c r="HQ245" s="36"/>
      <c r="HR245" s="36"/>
      <c r="HS245" s="36"/>
      <c r="HT245" s="36"/>
      <c r="HU245" s="36"/>
      <c r="HV245" s="36"/>
      <c r="HW245" s="36"/>
      <c r="HX245" s="36"/>
      <c r="HY245" s="36"/>
      <c r="HZ245" s="36"/>
      <c r="IA245" s="36"/>
      <c r="IB245" s="36"/>
      <c r="IC245" s="36"/>
      <c r="ID245" s="36"/>
      <c r="IE245" s="36"/>
      <c r="IF245" s="36"/>
      <c r="IG245" s="36"/>
      <c r="IH245" s="36"/>
      <c r="II245" s="36"/>
      <c r="IJ245" s="36"/>
      <c r="IK245" s="36"/>
      <c r="IL245" s="36"/>
      <c r="IM245" s="36"/>
      <c r="IN245" s="36"/>
      <c r="IO245" s="36"/>
      <c r="IP245" s="36"/>
      <c r="IQ245" s="36"/>
      <c r="IR245" s="36"/>
      <c r="IS245" s="36"/>
      <c r="IT245" s="36"/>
      <c r="IU245" s="36"/>
      <c r="IV245" s="36"/>
    </row>
    <row r="246" spans="1:256" s="35" customFormat="1" ht="15">
      <c r="A246" s="36"/>
      <c r="B246" s="141"/>
      <c r="C246" s="36"/>
      <c r="D246" s="36"/>
      <c r="E246" s="36"/>
      <c r="F246" s="36"/>
      <c r="G246" s="36"/>
      <c r="H246" s="36"/>
      <c r="I246" s="36"/>
      <c r="J246" s="36"/>
      <c r="FW246" s="36"/>
      <c r="FX246" s="36"/>
      <c r="FY246" s="36"/>
      <c r="FZ246" s="36"/>
      <c r="GA246" s="36"/>
      <c r="GB246" s="36"/>
      <c r="GC246" s="36"/>
      <c r="GD246" s="36"/>
      <c r="GE246" s="36"/>
      <c r="GF246" s="36"/>
      <c r="GG246" s="36"/>
      <c r="GH246" s="36"/>
      <c r="GI246" s="36"/>
      <c r="GJ246" s="36"/>
      <c r="GK246" s="36"/>
      <c r="GL246" s="36"/>
      <c r="GM246" s="36"/>
      <c r="GN246" s="36"/>
      <c r="GO246" s="36"/>
      <c r="GP246" s="36"/>
      <c r="GQ246" s="36"/>
      <c r="GR246" s="36"/>
      <c r="GS246" s="36"/>
      <c r="GT246" s="36"/>
      <c r="GU246" s="36"/>
      <c r="GV246" s="36"/>
      <c r="GW246" s="36"/>
      <c r="GX246" s="36"/>
      <c r="GY246" s="36"/>
      <c r="GZ246" s="36"/>
      <c r="HA246" s="36"/>
      <c r="HB246" s="36"/>
      <c r="HC246" s="36"/>
      <c r="HD246" s="36"/>
      <c r="HE246" s="36"/>
      <c r="HF246" s="36"/>
      <c r="HG246" s="36"/>
      <c r="HH246" s="36"/>
      <c r="HI246" s="36"/>
      <c r="HJ246" s="36"/>
      <c r="HK246" s="36"/>
      <c r="HL246" s="36"/>
      <c r="HM246" s="36"/>
      <c r="HN246" s="36"/>
      <c r="HO246" s="36"/>
      <c r="HP246" s="36"/>
      <c r="HQ246" s="36"/>
      <c r="HR246" s="36"/>
      <c r="HS246" s="36"/>
      <c r="HT246" s="36"/>
      <c r="HU246" s="36"/>
      <c r="HV246" s="36"/>
      <c r="HW246" s="36"/>
      <c r="HX246" s="36"/>
      <c r="HY246" s="36"/>
      <c r="HZ246" s="36"/>
      <c r="IA246" s="36"/>
      <c r="IB246" s="36"/>
      <c r="IC246" s="36"/>
      <c r="ID246" s="36"/>
      <c r="IE246" s="36"/>
      <c r="IF246" s="36"/>
      <c r="IG246" s="36"/>
      <c r="IH246" s="36"/>
      <c r="II246" s="36"/>
      <c r="IJ246" s="36"/>
      <c r="IK246" s="36"/>
      <c r="IL246" s="36"/>
      <c r="IM246" s="36"/>
      <c r="IN246" s="36"/>
      <c r="IO246" s="36"/>
      <c r="IP246" s="36"/>
      <c r="IQ246" s="36"/>
      <c r="IR246" s="36"/>
      <c r="IS246" s="36"/>
      <c r="IT246" s="36"/>
      <c r="IU246" s="36"/>
      <c r="IV246" s="36"/>
    </row>
    <row r="247" spans="1:256" s="35" customFormat="1" ht="15">
      <c r="A247" s="36"/>
      <c r="B247" s="141"/>
      <c r="C247" s="36"/>
      <c r="D247" s="36"/>
      <c r="E247" s="36"/>
      <c r="F247" s="36"/>
      <c r="G247" s="36"/>
      <c r="H247" s="36"/>
      <c r="I247" s="36"/>
      <c r="J247" s="36"/>
      <c r="FW247" s="36"/>
      <c r="FX247" s="36"/>
      <c r="FY247" s="36"/>
      <c r="FZ247" s="36"/>
      <c r="GA247" s="36"/>
      <c r="GB247" s="36"/>
      <c r="GC247" s="36"/>
      <c r="GD247" s="36"/>
      <c r="GE247" s="36"/>
      <c r="GF247" s="36"/>
      <c r="GG247" s="36"/>
      <c r="GH247" s="36"/>
      <c r="GI247" s="36"/>
      <c r="GJ247" s="36"/>
      <c r="GK247" s="36"/>
      <c r="GL247" s="36"/>
      <c r="GM247" s="36"/>
      <c r="GN247" s="36"/>
      <c r="GO247" s="36"/>
      <c r="GP247" s="36"/>
      <c r="GQ247" s="36"/>
      <c r="GR247" s="36"/>
      <c r="GS247" s="36"/>
      <c r="GT247" s="36"/>
      <c r="GU247" s="36"/>
      <c r="GV247" s="36"/>
      <c r="GW247" s="36"/>
      <c r="GX247" s="36"/>
      <c r="GY247" s="36"/>
      <c r="GZ247" s="36"/>
      <c r="HA247" s="36"/>
      <c r="HB247" s="36"/>
      <c r="HC247" s="36"/>
      <c r="HD247" s="36"/>
      <c r="HE247" s="36"/>
      <c r="HF247" s="36"/>
      <c r="HG247" s="36"/>
      <c r="HH247" s="36"/>
      <c r="HI247" s="36"/>
      <c r="HJ247" s="36"/>
      <c r="HK247" s="36"/>
      <c r="HL247" s="36"/>
      <c r="HM247" s="36"/>
      <c r="HN247" s="36"/>
      <c r="HO247" s="36"/>
      <c r="HP247" s="36"/>
      <c r="HQ247" s="36"/>
      <c r="HR247" s="36"/>
      <c r="HS247" s="36"/>
      <c r="HT247" s="36"/>
      <c r="HU247" s="36"/>
      <c r="HV247" s="36"/>
      <c r="HW247" s="36"/>
      <c r="HX247" s="36"/>
      <c r="HY247" s="36"/>
      <c r="HZ247" s="36"/>
      <c r="IA247" s="36"/>
      <c r="IB247" s="36"/>
      <c r="IC247" s="36"/>
      <c r="ID247" s="36"/>
      <c r="IE247" s="36"/>
      <c r="IF247" s="36"/>
      <c r="IG247" s="36"/>
      <c r="IH247" s="36"/>
      <c r="II247" s="36"/>
      <c r="IJ247" s="36"/>
      <c r="IK247" s="36"/>
      <c r="IL247" s="36"/>
      <c r="IM247" s="36"/>
      <c r="IN247" s="36"/>
      <c r="IO247" s="36"/>
      <c r="IP247" s="36"/>
      <c r="IQ247" s="36"/>
      <c r="IR247" s="36"/>
      <c r="IS247" s="36"/>
      <c r="IT247" s="36"/>
      <c r="IU247" s="36"/>
      <c r="IV247" s="36"/>
    </row>
    <row r="248" spans="1:256" s="35" customFormat="1" ht="15">
      <c r="A248" s="36"/>
      <c r="B248" s="141"/>
      <c r="C248" s="36"/>
      <c r="D248" s="36"/>
      <c r="E248" s="36"/>
      <c r="F248" s="36"/>
      <c r="G248" s="36"/>
      <c r="H248" s="36"/>
      <c r="I248" s="36"/>
      <c r="J248" s="36"/>
      <c r="FW248" s="36"/>
      <c r="FX248" s="36"/>
      <c r="FY248" s="36"/>
      <c r="FZ248" s="36"/>
      <c r="GA248" s="36"/>
      <c r="GB248" s="36"/>
      <c r="GC248" s="36"/>
      <c r="GD248" s="36"/>
      <c r="GE248" s="36"/>
      <c r="GF248" s="36"/>
      <c r="GG248" s="36"/>
      <c r="GH248" s="36"/>
      <c r="GI248" s="36"/>
      <c r="GJ248" s="36"/>
      <c r="GK248" s="36"/>
      <c r="GL248" s="36"/>
      <c r="GM248" s="36"/>
      <c r="GN248" s="36"/>
      <c r="GO248" s="36"/>
      <c r="GP248" s="36"/>
      <c r="GQ248" s="36"/>
      <c r="GR248" s="36"/>
      <c r="GS248" s="36"/>
      <c r="GT248" s="36"/>
      <c r="GU248" s="36"/>
      <c r="GV248" s="36"/>
      <c r="GW248" s="36"/>
      <c r="GX248" s="36"/>
      <c r="GY248" s="36"/>
      <c r="GZ248" s="36"/>
      <c r="HA248" s="36"/>
      <c r="HB248" s="36"/>
      <c r="HC248" s="36"/>
      <c r="HD248" s="36"/>
      <c r="HE248" s="36"/>
      <c r="HF248" s="36"/>
      <c r="HG248" s="36"/>
      <c r="HH248" s="36"/>
      <c r="HI248" s="36"/>
      <c r="HJ248" s="36"/>
      <c r="HK248" s="36"/>
      <c r="HL248" s="36"/>
      <c r="HM248" s="36"/>
      <c r="HN248" s="36"/>
      <c r="HO248" s="36"/>
      <c r="HP248" s="36"/>
      <c r="HQ248" s="36"/>
      <c r="HR248" s="36"/>
      <c r="HS248" s="36"/>
      <c r="HT248" s="36"/>
      <c r="HU248" s="36"/>
      <c r="HV248" s="36"/>
      <c r="HW248" s="36"/>
      <c r="HX248" s="36"/>
      <c r="HY248" s="36"/>
      <c r="HZ248" s="36"/>
      <c r="IA248" s="36"/>
      <c r="IB248" s="36"/>
      <c r="IC248" s="36"/>
      <c r="ID248" s="36"/>
      <c r="IE248" s="36"/>
      <c r="IF248" s="36"/>
      <c r="IG248" s="36"/>
      <c r="IH248" s="36"/>
      <c r="II248" s="36"/>
      <c r="IJ248" s="36"/>
      <c r="IK248" s="36"/>
      <c r="IL248" s="36"/>
      <c r="IM248" s="36"/>
      <c r="IN248" s="36"/>
      <c r="IO248" s="36"/>
      <c r="IP248" s="36"/>
      <c r="IQ248" s="36"/>
      <c r="IR248" s="36"/>
      <c r="IS248" s="36"/>
      <c r="IT248" s="36"/>
      <c r="IU248" s="36"/>
      <c r="IV248" s="36"/>
    </row>
    <row r="249" spans="1:256" s="35" customFormat="1" ht="15">
      <c r="A249" s="36"/>
      <c r="B249" s="141"/>
      <c r="C249" s="36"/>
      <c r="D249" s="36"/>
      <c r="E249" s="36"/>
      <c r="F249" s="36"/>
      <c r="G249" s="36"/>
      <c r="H249" s="36"/>
      <c r="I249" s="36"/>
      <c r="J249" s="36"/>
      <c r="FW249" s="36"/>
      <c r="FX249" s="36"/>
      <c r="FY249" s="36"/>
      <c r="FZ249" s="36"/>
      <c r="GA249" s="36"/>
      <c r="GB249" s="36"/>
      <c r="GC249" s="36"/>
      <c r="GD249" s="36"/>
      <c r="GE249" s="36"/>
      <c r="GF249" s="36"/>
      <c r="GG249" s="36"/>
      <c r="GH249" s="36"/>
      <c r="GI249" s="36"/>
      <c r="GJ249" s="36"/>
      <c r="GK249" s="36"/>
      <c r="GL249" s="36"/>
      <c r="GM249" s="36"/>
      <c r="GN249" s="36"/>
      <c r="GO249" s="36"/>
      <c r="GP249" s="36"/>
      <c r="GQ249" s="36"/>
      <c r="GR249" s="36"/>
      <c r="GS249" s="36"/>
      <c r="GT249" s="36"/>
      <c r="GU249" s="36"/>
      <c r="GV249" s="36"/>
      <c r="GW249" s="36"/>
      <c r="GX249" s="36"/>
      <c r="GY249" s="36"/>
      <c r="GZ249" s="36"/>
      <c r="HA249" s="36"/>
      <c r="HB249" s="36"/>
      <c r="HC249" s="36"/>
      <c r="HD249" s="36"/>
      <c r="HE249" s="36"/>
      <c r="HF249" s="36"/>
      <c r="HG249" s="36"/>
      <c r="HH249" s="36"/>
      <c r="HI249" s="36"/>
      <c r="HJ249" s="36"/>
      <c r="HK249" s="36"/>
      <c r="HL249" s="36"/>
      <c r="HM249" s="36"/>
      <c r="HN249" s="36"/>
      <c r="HO249" s="36"/>
      <c r="HP249" s="36"/>
      <c r="HQ249" s="36"/>
      <c r="HR249" s="36"/>
      <c r="HS249" s="36"/>
      <c r="HT249" s="36"/>
      <c r="HU249" s="36"/>
      <c r="HV249" s="36"/>
      <c r="HW249" s="36"/>
      <c r="HX249" s="36"/>
      <c r="HY249" s="36"/>
      <c r="HZ249" s="36"/>
      <c r="IA249" s="36"/>
      <c r="IB249" s="36"/>
      <c r="IC249" s="36"/>
      <c r="ID249" s="36"/>
      <c r="IE249" s="36"/>
      <c r="IF249" s="36"/>
      <c r="IG249" s="36"/>
      <c r="IH249" s="36"/>
      <c r="II249" s="36"/>
      <c r="IJ249" s="36"/>
      <c r="IK249" s="36"/>
      <c r="IL249" s="36"/>
      <c r="IM249" s="36"/>
      <c r="IN249" s="36"/>
      <c r="IO249" s="36"/>
      <c r="IP249" s="36"/>
      <c r="IQ249" s="36"/>
      <c r="IR249" s="36"/>
      <c r="IS249" s="36"/>
      <c r="IT249" s="36"/>
      <c r="IU249" s="36"/>
      <c r="IV249" s="36"/>
    </row>
    <row r="250" spans="1:256" s="35" customFormat="1" ht="15">
      <c r="A250" s="36"/>
      <c r="B250" s="141"/>
      <c r="C250" s="36"/>
      <c r="D250" s="36"/>
      <c r="E250" s="36"/>
      <c r="F250" s="36"/>
      <c r="G250" s="36"/>
      <c r="H250" s="36"/>
      <c r="I250" s="36"/>
      <c r="J250" s="36"/>
      <c r="FW250" s="36"/>
      <c r="FX250" s="36"/>
      <c r="FY250" s="36"/>
      <c r="FZ250" s="36"/>
      <c r="GA250" s="36"/>
      <c r="GB250" s="36"/>
      <c r="GC250" s="36"/>
      <c r="GD250" s="36"/>
      <c r="GE250" s="36"/>
      <c r="GF250" s="36"/>
      <c r="GG250" s="36"/>
      <c r="GH250" s="36"/>
      <c r="GI250" s="36"/>
      <c r="GJ250" s="36"/>
      <c r="GK250" s="36"/>
      <c r="GL250" s="36"/>
      <c r="GM250" s="36"/>
      <c r="GN250" s="36"/>
      <c r="GO250" s="36"/>
      <c r="GP250" s="36"/>
      <c r="GQ250" s="36"/>
      <c r="GR250" s="36"/>
      <c r="GS250" s="36"/>
      <c r="GT250" s="36"/>
      <c r="GU250" s="36"/>
      <c r="GV250" s="36"/>
      <c r="GW250" s="36"/>
      <c r="GX250" s="36"/>
      <c r="GY250" s="36"/>
      <c r="GZ250" s="36"/>
      <c r="HA250" s="36"/>
      <c r="HB250" s="36"/>
      <c r="HC250" s="36"/>
      <c r="HD250" s="36"/>
      <c r="HE250" s="36"/>
      <c r="HF250" s="36"/>
      <c r="HG250" s="36"/>
      <c r="HH250" s="36"/>
      <c r="HI250" s="36"/>
      <c r="HJ250" s="36"/>
      <c r="HK250" s="36"/>
      <c r="HL250" s="36"/>
      <c r="HM250" s="36"/>
      <c r="HN250" s="36"/>
      <c r="HO250" s="36"/>
      <c r="HP250" s="36"/>
      <c r="HQ250" s="36"/>
      <c r="HR250" s="36"/>
      <c r="HS250" s="36"/>
      <c r="HT250" s="36"/>
      <c r="HU250" s="36"/>
      <c r="HV250" s="36"/>
      <c r="HW250" s="36"/>
      <c r="HX250" s="36"/>
      <c r="HY250" s="36"/>
      <c r="HZ250" s="36"/>
      <c r="IA250" s="36"/>
      <c r="IB250" s="36"/>
      <c r="IC250" s="36"/>
      <c r="ID250" s="36"/>
      <c r="IE250" s="36"/>
      <c r="IF250" s="36"/>
      <c r="IG250" s="36"/>
      <c r="IH250" s="36"/>
      <c r="II250" s="36"/>
      <c r="IJ250" s="36"/>
      <c r="IK250" s="36"/>
      <c r="IL250" s="36"/>
      <c r="IM250" s="36"/>
      <c r="IN250" s="36"/>
      <c r="IO250" s="36"/>
      <c r="IP250" s="36"/>
      <c r="IQ250" s="36"/>
      <c r="IR250" s="36"/>
      <c r="IS250" s="36"/>
      <c r="IT250" s="36"/>
      <c r="IU250" s="36"/>
      <c r="IV250" s="36"/>
    </row>
    <row r="251" spans="1:256" s="35" customFormat="1" ht="15">
      <c r="A251" s="36"/>
      <c r="B251" s="141"/>
      <c r="C251" s="36"/>
      <c r="D251" s="36"/>
      <c r="E251" s="36"/>
      <c r="F251" s="36"/>
      <c r="G251" s="36"/>
      <c r="H251" s="36"/>
      <c r="I251" s="36"/>
      <c r="J251" s="36"/>
      <c r="FW251" s="36"/>
      <c r="FX251" s="36"/>
      <c r="FY251" s="36"/>
      <c r="FZ251" s="36"/>
      <c r="GA251" s="36"/>
      <c r="GB251" s="36"/>
      <c r="GC251" s="36"/>
      <c r="GD251" s="36"/>
      <c r="GE251" s="36"/>
      <c r="GF251" s="36"/>
      <c r="GG251" s="36"/>
      <c r="GH251" s="36"/>
      <c r="GI251" s="36"/>
      <c r="GJ251" s="36"/>
      <c r="GK251" s="36"/>
      <c r="GL251" s="36"/>
      <c r="GM251" s="36"/>
      <c r="GN251" s="36"/>
      <c r="GO251" s="36"/>
      <c r="GP251" s="36"/>
      <c r="GQ251" s="36"/>
      <c r="GR251" s="36"/>
      <c r="GS251" s="36"/>
      <c r="GT251" s="36"/>
      <c r="GU251" s="36"/>
      <c r="GV251" s="36"/>
      <c r="GW251" s="36"/>
      <c r="GX251" s="36"/>
      <c r="GY251" s="36"/>
      <c r="GZ251" s="36"/>
      <c r="HA251" s="36"/>
      <c r="HB251" s="36"/>
      <c r="HC251" s="36"/>
      <c r="HD251" s="36"/>
      <c r="HE251" s="36"/>
      <c r="HF251" s="36"/>
      <c r="HG251" s="36"/>
      <c r="HH251" s="36"/>
      <c r="HI251" s="36"/>
      <c r="HJ251" s="36"/>
      <c r="HK251" s="36"/>
      <c r="HL251" s="36"/>
      <c r="HM251" s="36"/>
      <c r="HN251" s="36"/>
      <c r="HO251" s="36"/>
      <c r="HP251" s="36"/>
      <c r="HQ251" s="36"/>
      <c r="HR251" s="36"/>
      <c r="HS251" s="36"/>
      <c r="HT251" s="36"/>
      <c r="HU251" s="36"/>
      <c r="HV251" s="36"/>
      <c r="HW251" s="36"/>
      <c r="HX251" s="36"/>
      <c r="HY251" s="36"/>
      <c r="HZ251" s="36"/>
      <c r="IA251" s="36"/>
      <c r="IB251" s="36"/>
      <c r="IC251" s="36"/>
      <c r="ID251" s="36"/>
      <c r="IE251" s="36"/>
      <c r="IF251" s="36"/>
      <c r="IG251" s="36"/>
      <c r="IH251" s="36"/>
      <c r="II251" s="36"/>
      <c r="IJ251" s="36"/>
      <c r="IK251" s="36"/>
      <c r="IL251" s="36"/>
      <c r="IM251" s="36"/>
      <c r="IN251" s="36"/>
      <c r="IO251" s="36"/>
      <c r="IP251" s="36"/>
      <c r="IQ251" s="36"/>
      <c r="IR251" s="36"/>
      <c r="IS251" s="36"/>
      <c r="IT251" s="36"/>
      <c r="IU251" s="36"/>
      <c r="IV251" s="36"/>
    </row>
    <row r="252" spans="1:256" s="35" customFormat="1" ht="15">
      <c r="A252" s="36"/>
      <c r="B252" s="141"/>
      <c r="C252" s="36"/>
      <c r="D252" s="36"/>
      <c r="E252" s="36"/>
      <c r="F252" s="36"/>
      <c r="G252" s="36"/>
      <c r="H252" s="36"/>
      <c r="I252" s="36"/>
      <c r="J252" s="36"/>
      <c r="FW252" s="36"/>
      <c r="FX252" s="36"/>
      <c r="FY252" s="36"/>
      <c r="FZ252" s="36"/>
      <c r="GA252" s="36"/>
      <c r="GB252" s="36"/>
      <c r="GC252" s="36"/>
      <c r="GD252" s="36"/>
      <c r="GE252" s="36"/>
      <c r="GF252" s="36"/>
      <c r="GG252" s="36"/>
      <c r="GH252" s="36"/>
      <c r="GI252" s="36"/>
      <c r="GJ252" s="36"/>
      <c r="GK252" s="36"/>
      <c r="GL252" s="36"/>
      <c r="GM252" s="36"/>
      <c r="GN252" s="36"/>
      <c r="GO252" s="36"/>
      <c r="GP252" s="36"/>
      <c r="GQ252" s="36"/>
      <c r="GR252" s="36"/>
      <c r="GS252" s="36"/>
      <c r="GT252" s="36"/>
      <c r="GU252" s="36"/>
      <c r="GV252" s="36"/>
      <c r="GW252" s="36"/>
      <c r="GX252" s="36"/>
      <c r="GY252" s="36"/>
      <c r="GZ252" s="36"/>
      <c r="HA252" s="36"/>
      <c r="HB252" s="36"/>
      <c r="HC252" s="36"/>
      <c r="HD252" s="36"/>
      <c r="HE252" s="36"/>
      <c r="HF252" s="36"/>
      <c r="HG252" s="36"/>
      <c r="HH252" s="36"/>
      <c r="HI252" s="36"/>
      <c r="HJ252" s="36"/>
      <c r="HK252" s="36"/>
      <c r="HL252" s="36"/>
      <c r="HM252" s="36"/>
      <c r="HN252" s="36"/>
      <c r="HO252" s="36"/>
      <c r="HP252" s="36"/>
      <c r="HQ252" s="36"/>
      <c r="HR252" s="36"/>
      <c r="HS252" s="36"/>
      <c r="HT252" s="36"/>
      <c r="HU252" s="36"/>
      <c r="HV252" s="36"/>
      <c r="HW252" s="36"/>
      <c r="HX252" s="36"/>
      <c r="HY252" s="36"/>
      <c r="HZ252" s="36"/>
      <c r="IA252" s="36"/>
      <c r="IB252" s="36"/>
      <c r="IC252" s="36"/>
      <c r="ID252" s="36"/>
      <c r="IE252" s="36"/>
      <c r="IF252" s="36"/>
      <c r="IG252" s="36"/>
      <c r="IH252" s="36"/>
      <c r="II252" s="36"/>
      <c r="IJ252" s="36"/>
      <c r="IK252" s="36"/>
      <c r="IL252" s="36"/>
      <c r="IM252" s="36"/>
      <c r="IN252" s="36"/>
      <c r="IO252" s="36"/>
      <c r="IP252" s="36"/>
      <c r="IQ252" s="36"/>
      <c r="IR252" s="36"/>
      <c r="IS252" s="36"/>
      <c r="IT252" s="36"/>
      <c r="IU252" s="36"/>
      <c r="IV252" s="36"/>
    </row>
    <row r="253" spans="1:256" s="35" customFormat="1" ht="15">
      <c r="A253" s="36"/>
      <c r="B253" s="141"/>
      <c r="C253" s="36"/>
      <c r="D253" s="36"/>
      <c r="E253" s="36"/>
      <c r="F253" s="36"/>
      <c r="G253" s="36"/>
      <c r="H253" s="36"/>
      <c r="I253" s="36"/>
      <c r="J253" s="36"/>
      <c r="FW253" s="36"/>
      <c r="FX253" s="36"/>
      <c r="FY253" s="36"/>
      <c r="FZ253" s="36"/>
      <c r="GA253" s="36"/>
      <c r="GB253" s="36"/>
      <c r="GC253" s="36"/>
      <c r="GD253" s="36"/>
      <c r="GE253" s="36"/>
      <c r="GF253" s="36"/>
      <c r="GG253" s="36"/>
      <c r="GH253" s="36"/>
      <c r="GI253" s="36"/>
      <c r="GJ253" s="36"/>
      <c r="GK253" s="36"/>
      <c r="GL253" s="36"/>
      <c r="GM253" s="36"/>
      <c r="GN253" s="36"/>
      <c r="GO253" s="36"/>
      <c r="GP253" s="36"/>
      <c r="GQ253" s="36"/>
      <c r="GR253" s="36"/>
      <c r="GS253" s="36"/>
      <c r="GT253" s="36"/>
      <c r="GU253" s="36"/>
      <c r="GV253" s="36"/>
      <c r="GW253" s="36"/>
      <c r="GX253" s="36"/>
      <c r="GY253" s="36"/>
      <c r="GZ253" s="36"/>
      <c r="HA253" s="36"/>
      <c r="HB253" s="36"/>
      <c r="HC253" s="36"/>
      <c r="HD253" s="36"/>
      <c r="HE253" s="36"/>
      <c r="HF253" s="36"/>
      <c r="HG253" s="36"/>
      <c r="HH253" s="36"/>
      <c r="HI253" s="36"/>
      <c r="HJ253" s="36"/>
      <c r="HK253" s="36"/>
      <c r="HL253" s="36"/>
      <c r="HM253" s="36"/>
      <c r="HN253" s="36"/>
      <c r="HO253" s="36"/>
      <c r="HP253" s="36"/>
      <c r="HQ253" s="36"/>
      <c r="HR253" s="36"/>
      <c r="HS253" s="36"/>
      <c r="HT253" s="36"/>
      <c r="HU253" s="36"/>
      <c r="HV253" s="36"/>
      <c r="HW253" s="36"/>
      <c r="HX253" s="36"/>
      <c r="HY253" s="36"/>
      <c r="HZ253" s="36"/>
      <c r="IA253" s="36"/>
      <c r="IB253" s="36"/>
      <c r="IC253" s="36"/>
      <c r="ID253" s="36"/>
      <c r="IE253" s="36"/>
      <c r="IF253" s="36"/>
      <c r="IG253" s="36"/>
      <c r="IH253" s="36"/>
      <c r="II253" s="36"/>
      <c r="IJ253" s="36"/>
      <c r="IK253" s="36"/>
      <c r="IL253" s="36"/>
      <c r="IM253" s="36"/>
      <c r="IN253" s="36"/>
      <c r="IO253" s="36"/>
      <c r="IP253" s="36"/>
      <c r="IQ253" s="36"/>
      <c r="IR253" s="36"/>
      <c r="IS253" s="36"/>
      <c r="IT253" s="36"/>
      <c r="IU253" s="36"/>
      <c r="IV253" s="36"/>
    </row>
    <row r="254" spans="1:256" s="35" customFormat="1" ht="15">
      <c r="A254" s="36"/>
      <c r="B254" s="141"/>
      <c r="C254" s="36"/>
      <c r="D254" s="36"/>
      <c r="E254" s="36"/>
      <c r="F254" s="36"/>
      <c r="G254" s="36"/>
      <c r="H254" s="36"/>
      <c r="I254" s="36"/>
      <c r="J254" s="36"/>
      <c r="FW254" s="36"/>
      <c r="FX254" s="36"/>
      <c r="FY254" s="36"/>
      <c r="FZ254" s="36"/>
      <c r="GA254" s="36"/>
      <c r="GB254" s="36"/>
      <c r="GC254" s="36"/>
      <c r="GD254" s="36"/>
      <c r="GE254" s="36"/>
      <c r="GF254" s="36"/>
      <c r="GG254" s="36"/>
      <c r="GH254" s="36"/>
      <c r="GI254" s="36"/>
      <c r="GJ254" s="36"/>
      <c r="GK254" s="36"/>
      <c r="GL254" s="36"/>
      <c r="GM254" s="36"/>
      <c r="GN254" s="36"/>
      <c r="GO254" s="36"/>
      <c r="GP254" s="36"/>
      <c r="GQ254" s="36"/>
      <c r="GR254" s="36"/>
      <c r="GS254" s="36"/>
      <c r="GT254" s="36"/>
      <c r="GU254" s="36"/>
      <c r="GV254" s="36"/>
      <c r="GW254" s="36"/>
      <c r="GX254" s="36"/>
      <c r="GY254" s="36"/>
      <c r="GZ254" s="36"/>
      <c r="HA254" s="36"/>
      <c r="HB254" s="36"/>
      <c r="HC254" s="36"/>
      <c r="HD254" s="36"/>
      <c r="HE254" s="36"/>
      <c r="HF254" s="36"/>
      <c r="HG254" s="36"/>
      <c r="HH254" s="36"/>
      <c r="HI254" s="36"/>
      <c r="HJ254" s="36"/>
      <c r="HK254" s="36"/>
      <c r="HL254" s="36"/>
      <c r="HM254" s="36"/>
      <c r="HN254" s="36"/>
      <c r="HO254" s="36"/>
      <c r="HP254" s="36"/>
      <c r="HQ254" s="36"/>
      <c r="HR254" s="36"/>
      <c r="HS254" s="36"/>
      <c r="HT254" s="36"/>
      <c r="HU254" s="36"/>
      <c r="HV254" s="36"/>
      <c r="HW254" s="36"/>
      <c r="HX254" s="36"/>
      <c r="HY254" s="36"/>
      <c r="HZ254" s="36"/>
      <c r="IA254" s="36"/>
      <c r="IB254" s="36"/>
      <c r="IC254" s="36"/>
      <c r="ID254" s="36"/>
      <c r="IE254" s="36"/>
      <c r="IF254" s="36"/>
      <c r="IG254" s="36"/>
      <c r="IH254" s="36"/>
      <c r="II254" s="36"/>
      <c r="IJ254" s="36"/>
      <c r="IK254" s="36"/>
      <c r="IL254" s="36"/>
      <c r="IM254" s="36"/>
      <c r="IN254" s="36"/>
      <c r="IO254" s="36"/>
      <c r="IP254" s="36"/>
      <c r="IQ254" s="36"/>
      <c r="IR254" s="36"/>
      <c r="IS254" s="36"/>
      <c r="IT254" s="36"/>
      <c r="IU254" s="36"/>
      <c r="IV254" s="36"/>
    </row>
    <row r="255" spans="1:256" s="35" customFormat="1" ht="15">
      <c r="A255" s="36"/>
      <c r="B255" s="141"/>
      <c r="C255" s="36"/>
      <c r="D255" s="36"/>
      <c r="E255" s="36"/>
      <c r="F255" s="36"/>
      <c r="G255" s="36"/>
      <c r="H255" s="36"/>
      <c r="I255" s="36"/>
      <c r="J255" s="36"/>
      <c r="FW255" s="36"/>
      <c r="FX255" s="36"/>
      <c r="FY255" s="36"/>
      <c r="FZ255" s="36"/>
      <c r="GA255" s="36"/>
      <c r="GB255" s="36"/>
      <c r="GC255" s="36"/>
      <c r="GD255" s="36"/>
      <c r="GE255" s="36"/>
      <c r="GF255" s="36"/>
      <c r="GG255" s="36"/>
      <c r="GH255" s="36"/>
      <c r="GI255" s="36"/>
      <c r="GJ255" s="36"/>
      <c r="GK255" s="36"/>
      <c r="GL255" s="36"/>
      <c r="GM255" s="36"/>
      <c r="GN255" s="36"/>
      <c r="GO255" s="36"/>
      <c r="GP255" s="36"/>
      <c r="GQ255" s="36"/>
      <c r="GR255" s="36"/>
      <c r="GS255" s="36"/>
      <c r="GT255" s="36"/>
      <c r="GU255" s="36"/>
      <c r="GV255" s="36"/>
      <c r="GW255" s="36"/>
      <c r="GX255" s="36"/>
      <c r="GY255" s="36"/>
      <c r="GZ255" s="36"/>
      <c r="HA255" s="36"/>
      <c r="HB255" s="36"/>
      <c r="HC255" s="36"/>
      <c r="HD255" s="36"/>
      <c r="HE255" s="36"/>
      <c r="HF255" s="36"/>
      <c r="HG255" s="36"/>
      <c r="HH255" s="36"/>
      <c r="HI255" s="36"/>
      <c r="HJ255" s="36"/>
      <c r="HK255" s="36"/>
      <c r="HL255" s="36"/>
      <c r="HM255" s="36"/>
      <c r="HN255" s="36"/>
      <c r="HO255" s="36"/>
      <c r="HP255" s="36"/>
      <c r="HQ255" s="36"/>
      <c r="HR255" s="36"/>
      <c r="HS255" s="36"/>
      <c r="HT255" s="36"/>
      <c r="HU255" s="36"/>
      <c r="HV255" s="36"/>
      <c r="HW255" s="36"/>
      <c r="HX255" s="36"/>
      <c r="HY255" s="36"/>
      <c r="HZ255" s="36"/>
      <c r="IA255" s="36"/>
      <c r="IB255" s="36"/>
      <c r="IC255" s="36"/>
      <c r="ID255" s="36"/>
      <c r="IE255" s="36"/>
      <c r="IF255" s="36"/>
      <c r="IG255" s="36"/>
      <c r="IH255" s="36"/>
      <c r="II255" s="36"/>
      <c r="IJ255" s="36"/>
      <c r="IK255" s="36"/>
      <c r="IL255" s="36"/>
      <c r="IM255" s="36"/>
      <c r="IN255" s="36"/>
      <c r="IO255" s="36"/>
      <c r="IP255" s="36"/>
      <c r="IQ255" s="36"/>
      <c r="IR255" s="36"/>
      <c r="IS255" s="36"/>
      <c r="IT255" s="36"/>
      <c r="IU255" s="36"/>
      <c r="IV255" s="36"/>
    </row>
    <row r="256" spans="1:256" s="35" customFormat="1" ht="15">
      <c r="A256" s="36"/>
      <c r="B256" s="141"/>
      <c r="C256" s="36"/>
      <c r="D256" s="36"/>
      <c r="E256" s="36"/>
      <c r="F256" s="36"/>
      <c r="G256" s="36"/>
      <c r="H256" s="36"/>
      <c r="I256" s="36"/>
      <c r="J256" s="36"/>
      <c r="FW256" s="36"/>
      <c r="FX256" s="36"/>
      <c r="FY256" s="36"/>
      <c r="FZ256" s="36"/>
      <c r="GA256" s="36"/>
      <c r="GB256" s="36"/>
      <c r="GC256" s="36"/>
      <c r="GD256" s="36"/>
      <c r="GE256" s="36"/>
      <c r="GF256" s="36"/>
      <c r="GG256" s="36"/>
      <c r="GH256" s="36"/>
      <c r="GI256" s="36"/>
      <c r="GJ256" s="36"/>
      <c r="GK256" s="36"/>
      <c r="GL256" s="36"/>
      <c r="GM256" s="36"/>
      <c r="GN256" s="36"/>
      <c r="GO256" s="36"/>
      <c r="GP256" s="36"/>
      <c r="GQ256" s="36"/>
      <c r="GR256" s="36"/>
      <c r="GS256" s="36"/>
      <c r="GT256" s="36"/>
      <c r="GU256" s="36"/>
      <c r="GV256" s="36"/>
      <c r="GW256" s="36"/>
      <c r="GX256" s="36"/>
      <c r="GY256" s="36"/>
      <c r="GZ256" s="36"/>
      <c r="HA256" s="36"/>
      <c r="HB256" s="36"/>
      <c r="HC256" s="36"/>
      <c r="HD256" s="36"/>
      <c r="HE256" s="36"/>
      <c r="HF256" s="36"/>
      <c r="HG256" s="36"/>
      <c r="HH256" s="36"/>
      <c r="HI256" s="36"/>
      <c r="HJ256" s="36"/>
      <c r="HK256" s="36"/>
      <c r="HL256" s="36"/>
      <c r="HM256" s="36"/>
      <c r="HN256" s="36"/>
      <c r="HO256" s="36"/>
      <c r="HP256" s="36"/>
      <c r="HQ256" s="36"/>
      <c r="HR256" s="36"/>
      <c r="HS256" s="36"/>
      <c r="HT256" s="36"/>
      <c r="HU256" s="36"/>
      <c r="HV256" s="36"/>
      <c r="HW256" s="36"/>
      <c r="HX256" s="36"/>
      <c r="HY256" s="36"/>
      <c r="HZ256" s="36"/>
      <c r="IA256" s="36"/>
      <c r="IB256" s="36"/>
      <c r="IC256" s="36"/>
      <c r="ID256" s="36"/>
      <c r="IE256" s="36"/>
      <c r="IF256" s="36"/>
      <c r="IG256" s="36"/>
      <c r="IH256" s="36"/>
      <c r="II256" s="36"/>
      <c r="IJ256" s="36"/>
      <c r="IK256" s="36"/>
      <c r="IL256" s="36"/>
      <c r="IM256" s="36"/>
      <c r="IN256" s="36"/>
      <c r="IO256" s="36"/>
      <c r="IP256" s="36"/>
      <c r="IQ256" s="36"/>
      <c r="IR256" s="36"/>
      <c r="IS256" s="36"/>
      <c r="IT256" s="36"/>
      <c r="IU256" s="36"/>
      <c r="IV256" s="36"/>
    </row>
    <row r="257" spans="1:256" s="35" customFormat="1" ht="15">
      <c r="A257" s="36"/>
      <c r="B257" s="141"/>
      <c r="C257" s="36"/>
      <c r="D257" s="36"/>
      <c r="E257" s="36"/>
      <c r="F257" s="36"/>
      <c r="G257" s="36"/>
      <c r="H257" s="36"/>
      <c r="I257" s="36"/>
      <c r="J257" s="36"/>
      <c r="FW257" s="36"/>
      <c r="FX257" s="36"/>
      <c r="FY257" s="36"/>
      <c r="FZ257" s="36"/>
      <c r="GA257" s="36"/>
      <c r="GB257" s="36"/>
      <c r="GC257" s="36"/>
      <c r="GD257" s="36"/>
      <c r="GE257" s="36"/>
      <c r="GF257" s="36"/>
      <c r="GG257" s="36"/>
      <c r="GH257" s="36"/>
      <c r="GI257" s="36"/>
      <c r="GJ257" s="36"/>
      <c r="GK257" s="36"/>
      <c r="GL257" s="36"/>
      <c r="GM257" s="36"/>
      <c r="GN257" s="36"/>
      <c r="GO257" s="36"/>
      <c r="GP257" s="36"/>
      <c r="GQ257" s="36"/>
      <c r="GR257" s="36"/>
      <c r="GS257" s="36"/>
      <c r="GT257" s="36"/>
      <c r="GU257" s="36"/>
      <c r="GV257" s="36"/>
      <c r="GW257" s="36"/>
      <c r="GX257" s="36"/>
      <c r="GY257" s="36"/>
      <c r="GZ257" s="36"/>
      <c r="HA257" s="36"/>
      <c r="HB257" s="36"/>
      <c r="HC257" s="36"/>
      <c r="HD257" s="36"/>
      <c r="HE257" s="36"/>
      <c r="HF257" s="36"/>
      <c r="HG257" s="36"/>
      <c r="HH257" s="36"/>
      <c r="HI257" s="36"/>
      <c r="HJ257" s="36"/>
      <c r="HK257" s="36"/>
      <c r="HL257" s="36"/>
      <c r="HM257" s="36"/>
      <c r="HN257" s="36"/>
      <c r="HO257" s="36"/>
      <c r="HP257" s="36"/>
      <c r="HQ257" s="36"/>
      <c r="HR257" s="36"/>
      <c r="HS257" s="36"/>
      <c r="HT257" s="36"/>
      <c r="HU257" s="36"/>
      <c r="HV257" s="36"/>
      <c r="HW257" s="36"/>
      <c r="HX257" s="36"/>
      <c r="HY257" s="36"/>
      <c r="HZ257" s="36"/>
      <c r="IA257" s="36"/>
      <c r="IB257" s="36"/>
      <c r="IC257" s="36"/>
      <c r="ID257" s="36"/>
      <c r="IE257" s="36"/>
      <c r="IF257" s="36"/>
      <c r="IG257" s="36"/>
      <c r="IH257" s="36"/>
      <c r="II257" s="36"/>
      <c r="IJ257" s="36"/>
      <c r="IK257" s="36"/>
      <c r="IL257" s="36"/>
      <c r="IM257" s="36"/>
      <c r="IN257" s="36"/>
      <c r="IO257" s="36"/>
      <c r="IP257" s="36"/>
      <c r="IQ257" s="36"/>
      <c r="IR257" s="36"/>
      <c r="IS257" s="36"/>
      <c r="IT257" s="36"/>
      <c r="IU257" s="36"/>
      <c r="IV257" s="36"/>
    </row>
    <row r="258" spans="1:256" s="35" customFormat="1" ht="15">
      <c r="A258" s="36"/>
      <c r="B258" s="141"/>
      <c r="C258" s="36"/>
      <c r="D258" s="36"/>
      <c r="E258" s="36"/>
      <c r="F258" s="36"/>
      <c r="G258" s="36"/>
      <c r="H258" s="36"/>
      <c r="I258" s="36"/>
      <c r="J258" s="36"/>
      <c r="FW258" s="36"/>
      <c r="FX258" s="36"/>
      <c r="FY258" s="36"/>
      <c r="FZ258" s="36"/>
      <c r="GA258" s="36"/>
      <c r="GB258" s="36"/>
      <c r="GC258" s="36"/>
      <c r="GD258" s="36"/>
      <c r="GE258" s="36"/>
      <c r="GF258" s="36"/>
      <c r="GG258" s="36"/>
      <c r="GH258" s="36"/>
      <c r="GI258" s="36"/>
      <c r="GJ258" s="36"/>
      <c r="GK258" s="36"/>
      <c r="GL258" s="36"/>
      <c r="GM258" s="36"/>
      <c r="GN258" s="36"/>
      <c r="GO258" s="36"/>
      <c r="GP258" s="36"/>
      <c r="GQ258" s="36"/>
      <c r="GR258" s="36"/>
      <c r="GS258" s="36"/>
      <c r="GT258" s="36"/>
      <c r="GU258" s="36"/>
      <c r="GV258" s="36"/>
      <c r="GW258" s="36"/>
      <c r="GX258" s="36"/>
      <c r="GY258" s="36"/>
      <c r="GZ258" s="36"/>
      <c r="HA258" s="36"/>
      <c r="HB258" s="36"/>
      <c r="HC258" s="36"/>
      <c r="HD258" s="36"/>
      <c r="HE258" s="36"/>
      <c r="HF258" s="36"/>
      <c r="HG258" s="36"/>
      <c r="HH258" s="36"/>
      <c r="HI258" s="36"/>
      <c r="HJ258" s="36"/>
      <c r="HK258" s="36"/>
      <c r="HL258" s="36"/>
      <c r="HM258" s="36"/>
      <c r="HN258" s="36"/>
      <c r="HO258" s="36"/>
      <c r="HP258" s="36"/>
      <c r="HQ258" s="36"/>
      <c r="HR258" s="36"/>
      <c r="HS258" s="36"/>
      <c r="HT258" s="36"/>
      <c r="HU258" s="36"/>
      <c r="HV258" s="36"/>
      <c r="HW258" s="36"/>
      <c r="HX258" s="36"/>
      <c r="HY258" s="36"/>
      <c r="HZ258" s="36"/>
      <c r="IA258" s="36"/>
      <c r="IB258" s="36"/>
      <c r="IC258" s="36"/>
      <c r="ID258" s="36"/>
      <c r="IE258" s="36"/>
      <c r="IF258" s="36"/>
      <c r="IG258" s="36"/>
      <c r="IH258" s="36"/>
      <c r="II258" s="36"/>
      <c r="IJ258" s="36"/>
      <c r="IK258" s="36"/>
      <c r="IL258" s="36"/>
      <c r="IM258" s="36"/>
      <c r="IN258" s="36"/>
      <c r="IO258" s="36"/>
      <c r="IP258" s="36"/>
      <c r="IQ258" s="36"/>
      <c r="IR258" s="36"/>
      <c r="IS258" s="36"/>
      <c r="IT258" s="36"/>
      <c r="IU258" s="36"/>
      <c r="IV258" s="36"/>
    </row>
    <row r="259" spans="1:256" s="35" customFormat="1" ht="15">
      <c r="A259" s="36"/>
      <c r="B259" s="141"/>
      <c r="C259" s="36"/>
      <c r="D259" s="36"/>
      <c r="E259" s="36"/>
      <c r="F259" s="36"/>
      <c r="G259" s="36"/>
      <c r="H259" s="36"/>
      <c r="I259" s="36"/>
      <c r="J259" s="36"/>
      <c r="FW259" s="36"/>
      <c r="FX259" s="36"/>
      <c r="FY259" s="36"/>
      <c r="FZ259" s="36"/>
      <c r="GA259" s="36"/>
      <c r="GB259" s="36"/>
      <c r="GC259" s="36"/>
      <c r="GD259" s="36"/>
      <c r="GE259" s="36"/>
      <c r="GF259" s="36"/>
      <c r="GG259" s="36"/>
      <c r="GH259" s="36"/>
      <c r="GI259" s="36"/>
      <c r="GJ259" s="36"/>
      <c r="GK259" s="36"/>
      <c r="GL259" s="36"/>
      <c r="GM259" s="36"/>
      <c r="GN259" s="36"/>
      <c r="GO259" s="36"/>
      <c r="GP259" s="36"/>
      <c r="GQ259" s="36"/>
      <c r="GR259" s="36"/>
      <c r="GS259" s="36"/>
      <c r="GT259" s="36"/>
      <c r="GU259" s="36"/>
      <c r="GV259" s="36"/>
      <c r="GW259" s="36"/>
      <c r="GX259" s="36"/>
      <c r="GY259" s="36"/>
      <c r="GZ259" s="36"/>
      <c r="HA259" s="36"/>
      <c r="HB259" s="36"/>
      <c r="HC259" s="36"/>
      <c r="HD259" s="36"/>
      <c r="HE259" s="36"/>
      <c r="HF259" s="36"/>
      <c r="HG259" s="36"/>
      <c r="HH259" s="36"/>
      <c r="HI259" s="36"/>
      <c r="HJ259" s="36"/>
      <c r="HK259" s="36"/>
      <c r="HL259" s="36"/>
      <c r="HM259" s="36"/>
      <c r="HN259" s="36"/>
      <c r="HO259" s="36"/>
      <c r="HP259" s="36"/>
      <c r="HQ259" s="36"/>
      <c r="HR259" s="36"/>
      <c r="HS259" s="36"/>
      <c r="HT259" s="36"/>
      <c r="HU259" s="36"/>
      <c r="HV259" s="36"/>
      <c r="HW259" s="36"/>
      <c r="HX259" s="36"/>
      <c r="HY259" s="36"/>
      <c r="HZ259" s="36"/>
      <c r="IA259" s="36"/>
      <c r="IB259" s="36"/>
      <c r="IC259" s="36"/>
      <c r="ID259" s="36"/>
      <c r="IE259" s="36"/>
      <c r="IF259" s="36"/>
      <c r="IG259" s="36"/>
      <c r="IH259" s="36"/>
      <c r="II259" s="36"/>
      <c r="IJ259" s="36"/>
      <c r="IK259" s="36"/>
      <c r="IL259" s="36"/>
      <c r="IM259" s="36"/>
      <c r="IN259" s="36"/>
      <c r="IO259" s="36"/>
      <c r="IP259" s="36"/>
      <c r="IQ259" s="36"/>
      <c r="IR259" s="36"/>
      <c r="IS259" s="36"/>
      <c r="IT259" s="36"/>
      <c r="IU259" s="36"/>
      <c r="IV259" s="36"/>
    </row>
    <row r="260" spans="1:256" s="35" customFormat="1" ht="15">
      <c r="A260" s="36"/>
      <c r="B260" s="141"/>
      <c r="C260" s="36"/>
      <c r="D260" s="36"/>
      <c r="E260" s="36"/>
      <c r="F260" s="36"/>
      <c r="G260" s="36"/>
      <c r="H260" s="36"/>
      <c r="I260" s="36"/>
      <c r="J260" s="36"/>
      <c r="FW260" s="36"/>
      <c r="FX260" s="36"/>
      <c r="FY260" s="36"/>
      <c r="FZ260" s="36"/>
      <c r="GA260" s="36"/>
      <c r="GB260" s="36"/>
      <c r="GC260" s="36"/>
      <c r="GD260" s="36"/>
      <c r="GE260" s="36"/>
      <c r="GF260" s="36"/>
      <c r="GG260" s="36"/>
      <c r="GH260" s="36"/>
      <c r="GI260" s="36"/>
      <c r="GJ260" s="36"/>
      <c r="GK260" s="36"/>
      <c r="GL260" s="36"/>
      <c r="GM260" s="36"/>
      <c r="GN260" s="36"/>
      <c r="GO260" s="36"/>
      <c r="GP260" s="36"/>
      <c r="GQ260" s="36"/>
      <c r="GR260" s="36"/>
      <c r="GS260" s="36"/>
      <c r="GT260" s="36"/>
      <c r="GU260" s="36"/>
      <c r="GV260" s="36"/>
      <c r="GW260" s="36"/>
      <c r="GX260" s="36"/>
      <c r="GY260" s="36"/>
      <c r="GZ260" s="36"/>
      <c r="HA260" s="36"/>
      <c r="HB260" s="36"/>
      <c r="HC260" s="36"/>
      <c r="HD260" s="36"/>
      <c r="HE260" s="36"/>
      <c r="HF260" s="36"/>
      <c r="HG260" s="36"/>
      <c r="HH260" s="36"/>
      <c r="HI260" s="36"/>
      <c r="HJ260" s="36"/>
      <c r="HK260" s="36"/>
      <c r="HL260" s="36"/>
      <c r="HM260" s="36"/>
      <c r="HN260" s="36"/>
      <c r="HO260" s="36"/>
      <c r="HP260" s="36"/>
      <c r="HQ260" s="36"/>
      <c r="HR260" s="36"/>
      <c r="HS260" s="36"/>
      <c r="HT260" s="36"/>
      <c r="HU260" s="36"/>
      <c r="HV260" s="36"/>
      <c r="HW260" s="36"/>
      <c r="HX260" s="36"/>
      <c r="HY260" s="36"/>
      <c r="HZ260" s="36"/>
      <c r="IA260" s="36"/>
      <c r="IB260" s="36"/>
      <c r="IC260" s="36"/>
      <c r="ID260" s="36"/>
      <c r="IE260" s="36"/>
      <c r="IF260" s="36"/>
      <c r="IG260" s="36"/>
      <c r="IH260" s="36"/>
      <c r="II260" s="36"/>
      <c r="IJ260" s="36"/>
      <c r="IK260" s="36"/>
      <c r="IL260" s="36"/>
      <c r="IM260" s="36"/>
      <c r="IN260" s="36"/>
      <c r="IO260" s="36"/>
      <c r="IP260" s="36"/>
      <c r="IQ260" s="36"/>
      <c r="IR260" s="36"/>
      <c r="IS260" s="36"/>
      <c r="IT260" s="36"/>
      <c r="IU260" s="36"/>
      <c r="IV260" s="36"/>
    </row>
    <row r="261" spans="1:256" s="35" customFormat="1" ht="15">
      <c r="A261" s="36"/>
      <c r="B261" s="141"/>
      <c r="C261" s="36"/>
      <c r="D261" s="36"/>
      <c r="E261" s="36"/>
      <c r="F261" s="36"/>
      <c r="G261" s="36"/>
      <c r="H261" s="36"/>
      <c r="I261" s="36"/>
      <c r="J261" s="36"/>
      <c r="FW261" s="36"/>
      <c r="FX261" s="36"/>
      <c r="FY261" s="36"/>
      <c r="FZ261" s="36"/>
      <c r="GA261" s="36"/>
      <c r="GB261" s="36"/>
      <c r="GC261" s="36"/>
      <c r="GD261" s="36"/>
      <c r="GE261" s="36"/>
      <c r="GF261" s="36"/>
      <c r="GG261" s="36"/>
      <c r="GH261" s="36"/>
      <c r="GI261" s="36"/>
      <c r="GJ261" s="36"/>
      <c r="GK261" s="36"/>
      <c r="GL261" s="36"/>
      <c r="GM261" s="36"/>
      <c r="GN261" s="36"/>
      <c r="GO261" s="36"/>
      <c r="GP261" s="36"/>
      <c r="GQ261" s="36"/>
      <c r="GR261" s="36"/>
      <c r="GS261" s="36"/>
      <c r="GT261" s="36"/>
      <c r="GU261" s="36"/>
      <c r="GV261" s="36"/>
      <c r="GW261" s="36"/>
      <c r="GX261" s="36"/>
      <c r="GY261" s="36"/>
      <c r="GZ261" s="36"/>
      <c r="HA261" s="36"/>
      <c r="HB261" s="36"/>
      <c r="HC261" s="36"/>
      <c r="HD261" s="36"/>
      <c r="HE261" s="36"/>
      <c r="HF261" s="36"/>
      <c r="HG261" s="36"/>
      <c r="HH261" s="36"/>
      <c r="HI261" s="36"/>
      <c r="HJ261" s="36"/>
      <c r="HK261" s="36"/>
      <c r="HL261" s="36"/>
      <c r="HM261" s="36"/>
      <c r="HN261" s="36"/>
      <c r="HO261" s="36"/>
      <c r="HP261" s="36"/>
      <c r="HQ261" s="36"/>
      <c r="HR261" s="36"/>
      <c r="HS261" s="36"/>
      <c r="HT261" s="36"/>
      <c r="HU261" s="36"/>
      <c r="HV261" s="36"/>
      <c r="HW261" s="36"/>
      <c r="HX261" s="36"/>
      <c r="HY261" s="36"/>
      <c r="HZ261" s="36"/>
      <c r="IA261" s="36"/>
      <c r="IB261" s="36"/>
      <c r="IC261" s="36"/>
      <c r="ID261" s="36"/>
      <c r="IE261" s="36"/>
      <c r="IF261" s="36"/>
      <c r="IG261" s="36"/>
      <c r="IH261" s="36"/>
      <c r="II261" s="36"/>
      <c r="IJ261" s="36"/>
      <c r="IK261" s="36"/>
      <c r="IL261" s="36"/>
      <c r="IM261" s="36"/>
      <c r="IN261" s="36"/>
      <c r="IO261" s="36"/>
      <c r="IP261" s="36"/>
      <c r="IQ261" s="36"/>
      <c r="IR261" s="36"/>
      <c r="IS261" s="36"/>
      <c r="IT261" s="36"/>
      <c r="IU261" s="36"/>
      <c r="IV261" s="36"/>
    </row>
    <row r="262" spans="1:256" s="35" customFormat="1" ht="15">
      <c r="A262" s="36"/>
      <c r="B262" s="141"/>
      <c r="C262" s="36"/>
      <c r="D262" s="36"/>
      <c r="E262" s="36"/>
      <c r="F262" s="36"/>
      <c r="G262" s="36"/>
      <c r="H262" s="36"/>
      <c r="I262" s="36"/>
      <c r="J262" s="36"/>
      <c r="FW262" s="36"/>
      <c r="FX262" s="36"/>
      <c r="FY262" s="36"/>
      <c r="FZ262" s="36"/>
      <c r="GA262" s="36"/>
      <c r="GB262" s="36"/>
      <c r="GC262" s="36"/>
      <c r="GD262" s="36"/>
      <c r="GE262" s="36"/>
      <c r="GF262" s="36"/>
      <c r="GG262" s="36"/>
      <c r="GH262" s="36"/>
      <c r="GI262" s="36"/>
      <c r="GJ262" s="36"/>
      <c r="GK262" s="36"/>
      <c r="GL262" s="36"/>
      <c r="GM262" s="36"/>
      <c r="GN262" s="36"/>
      <c r="GO262" s="36"/>
      <c r="GP262" s="36"/>
      <c r="GQ262" s="36"/>
      <c r="GR262" s="36"/>
      <c r="GS262" s="36"/>
      <c r="GT262" s="36"/>
      <c r="GU262" s="36"/>
      <c r="GV262" s="36"/>
      <c r="GW262" s="36"/>
      <c r="GX262" s="36"/>
      <c r="GY262" s="36"/>
      <c r="GZ262" s="36"/>
      <c r="HA262" s="36"/>
      <c r="HB262" s="36"/>
      <c r="HC262" s="36"/>
      <c r="HD262" s="36"/>
      <c r="HE262" s="36"/>
      <c r="HF262" s="36"/>
      <c r="HG262" s="36"/>
      <c r="HH262" s="36"/>
      <c r="HI262" s="36"/>
      <c r="HJ262" s="36"/>
      <c r="HK262" s="36"/>
      <c r="HL262" s="36"/>
      <c r="HM262" s="36"/>
      <c r="HN262" s="36"/>
      <c r="HO262" s="36"/>
      <c r="HP262" s="36"/>
      <c r="HQ262" s="36"/>
      <c r="HR262" s="36"/>
      <c r="HS262" s="36"/>
      <c r="HT262" s="36"/>
      <c r="HU262" s="36"/>
      <c r="HV262" s="36"/>
      <c r="HW262" s="36"/>
      <c r="HX262" s="36"/>
      <c r="HY262" s="36"/>
      <c r="HZ262" s="36"/>
      <c r="IA262" s="36"/>
      <c r="IB262" s="36"/>
      <c r="IC262" s="36"/>
      <c r="ID262" s="36"/>
      <c r="IE262" s="36"/>
      <c r="IF262" s="36"/>
      <c r="IG262" s="36"/>
      <c r="IH262" s="36"/>
      <c r="II262" s="36"/>
      <c r="IJ262" s="36"/>
      <c r="IK262" s="36"/>
      <c r="IL262" s="36"/>
      <c r="IM262" s="36"/>
      <c r="IN262" s="36"/>
      <c r="IO262" s="36"/>
      <c r="IP262" s="36"/>
      <c r="IQ262" s="36"/>
      <c r="IR262" s="36"/>
      <c r="IS262" s="36"/>
      <c r="IT262" s="36"/>
      <c r="IU262" s="36"/>
      <c r="IV262" s="36"/>
    </row>
    <row r="263" spans="1:256" s="35" customFormat="1" ht="15">
      <c r="A263" s="36"/>
      <c r="B263" s="141"/>
      <c r="C263" s="36"/>
      <c r="D263" s="36"/>
      <c r="E263" s="36"/>
      <c r="F263" s="36"/>
      <c r="G263" s="36"/>
      <c r="H263" s="36"/>
      <c r="I263" s="36"/>
      <c r="J263" s="36"/>
      <c r="FW263" s="36"/>
      <c r="FX263" s="36"/>
      <c r="FY263" s="36"/>
      <c r="FZ263" s="36"/>
      <c r="GA263" s="36"/>
      <c r="GB263" s="36"/>
      <c r="GC263" s="36"/>
      <c r="GD263" s="36"/>
      <c r="GE263" s="36"/>
      <c r="GF263" s="36"/>
      <c r="GG263" s="36"/>
      <c r="GH263" s="36"/>
      <c r="GI263" s="36"/>
      <c r="GJ263" s="36"/>
      <c r="GK263" s="36"/>
      <c r="GL263" s="36"/>
      <c r="GM263" s="36"/>
      <c r="GN263" s="36"/>
      <c r="GO263" s="36"/>
      <c r="GP263" s="36"/>
      <c r="GQ263" s="36"/>
      <c r="GR263" s="36"/>
      <c r="GS263" s="36"/>
      <c r="GT263" s="36"/>
      <c r="GU263" s="36"/>
      <c r="GV263" s="36"/>
      <c r="GW263" s="36"/>
      <c r="GX263" s="36"/>
      <c r="GY263" s="36"/>
      <c r="GZ263" s="36"/>
      <c r="HA263" s="36"/>
      <c r="HB263" s="36"/>
      <c r="HC263" s="36"/>
      <c r="HD263" s="36"/>
      <c r="HE263" s="36"/>
      <c r="HF263" s="36"/>
      <c r="HG263" s="36"/>
      <c r="HH263" s="36"/>
      <c r="HI263" s="36"/>
      <c r="HJ263" s="36"/>
      <c r="HK263" s="36"/>
      <c r="HL263" s="36"/>
      <c r="HM263" s="36"/>
      <c r="HN263" s="36"/>
      <c r="HO263" s="36"/>
      <c r="HP263" s="36"/>
      <c r="HQ263" s="36"/>
      <c r="HR263" s="36"/>
      <c r="HS263" s="36"/>
      <c r="HT263" s="36"/>
      <c r="HU263" s="36"/>
      <c r="HV263" s="36"/>
      <c r="HW263" s="36"/>
      <c r="HX263" s="36"/>
      <c r="HY263" s="36"/>
      <c r="HZ263" s="36"/>
      <c r="IA263" s="36"/>
      <c r="IB263" s="36"/>
      <c r="IC263" s="36"/>
      <c r="ID263" s="36"/>
      <c r="IE263" s="36"/>
      <c r="IF263" s="36"/>
      <c r="IG263" s="36"/>
      <c r="IH263" s="36"/>
      <c r="II263" s="36"/>
      <c r="IJ263" s="36"/>
      <c r="IK263" s="36"/>
      <c r="IL263" s="36"/>
      <c r="IM263" s="36"/>
      <c r="IN263" s="36"/>
      <c r="IO263" s="36"/>
      <c r="IP263" s="36"/>
      <c r="IQ263" s="36"/>
      <c r="IR263" s="36"/>
      <c r="IS263" s="36"/>
      <c r="IT263" s="36"/>
      <c r="IU263" s="36"/>
      <c r="IV263" s="36"/>
    </row>
    <row r="264" spans="1:256" s="35" customFormat="1" ht="15">
      <c r="A264" s="36"/>
      <c r="B264" s="141"/>
      <c r="C264" s="36"/>
      <c r="D264" s="36"/>
      <c r="E264" s="36"/>
      <c r="F264" s="36"/>
      <c r="G264" s="36"/>
      <c r="H264" s="36"/>
      <c r="I264" s="36"/>
      <c r="J264" s="36"/>
      <c r="FW264" s="36"/>
      <c r="FX264" s="36"/>
      <c r="FY264" s="36"/>
      <c r="FZ264" s="36"/>
      <c r="GA264" s="36"/>
      <c r="GB264" s="36"/>
      <c r="GC264" s="36"/>
      <c r="GD264" s="36"/>
      <c r="GE264" s="36"/>
      <c r="GF264" s="36"/>
      <c r="GG264" s="36"/>
      <c r="GH264" s="36"/>
      <c r="GI264" s="36"/>
      <c r="GJ264" s="36"/>
      <c r="GK264" s="36"/>
      <c r="GL264" s="36"/>
      <c r="GM264" s="36"/>
      <c r="GN264" s="36"/>
      <c r="GO264" s="36"/>
      <c r="GP264" s="36"/>
      <c r="GQ264" s="36"/>
      <c r="GR264" s="36"/>
      <c r="GS264" s="36"/>
      <c r="GT264" s="36"/>
      <c r="GU264" s="36"/>
      <c r="GV264" s="36"/>
      <c r="GW264" s="36"/>
      <c r="GX264" s="36"/>
      <c r="GY264" s="36"/>
      <c r="GZ264" s="36"/>
      <c r="HA264" s="36"/>
      <c r="HB264" s="36"/>
      <c r="HC264" s="36"/>
      <c r="HD264" s="36"/>
      <c r="HE264" s="36"/>
      <c r="HF264" s="36"/>
      <c r="HG264" s="36"/>
      <c r="HH264" s="36"/>
      <c r="HI264" s="36"/>
      <c r="HJ264" s="36"/>
      <c r="HK264" s="36"/>
      <c r="HL264" s="36"/>
      <c r="HM264" s="36"/>
      <c r="HN264" s="36"/>
      <c r="HO264" s="36"/>
      <c r="HP264" s="36"/>
      <c r="HQ264" s="36"/>
      <c r="HR264" s="36"/>
      <c r="HS264" s="36"/>
      <c r="HT264" s="36"/>
      <c r="HU264" s="36"/>
      <c r="HV264" s="36"/>
      <c r="HW264" s="36"/>
      <c r="HX264" s="36"/>
      <c r="HY264" s="36"/>
      <c r="HZ264" s="36"/>
      <c r="IA264" s="36"/>
      <c r="IB264" s="36"/>
      <c r="IC264" s="36"/>
      <c r="ID264" s="36"/>
      <c r="IE264" s="36"/>
      <c r="IF264" s="36"/>
      <c r="IG264" s="36"/>
      <c r="IH264" s="36"/>
      <c r="II264" s="36"/>
      <c r="IJ264" s="36"/>
      <c r="IK264" s="36"/>
      <c r="IL264" s="36"/>
      <c r="IM264" s="36"/>
      <c r="IN264" s="36"/>
      <c r="IO264" s="36"/>
      <c r="IP264" s="36"/>
      <c r="IQ264" s="36"/>
      <c r="IR264" s="36"/>
      <c r="IS264" s="36"/>
      <c r="IT264" s="36"/>
      <c r="IU264" s="36"/>
      <c r="IV264" s="36"/>
    </row>
    <row r="265" spans="1:256" s="35" customFormat="1" ht="15">
      <c r="A265" s="36"/>
      <c r="B265" s="141"/>
      <c r="C265" s="36"/>
      <c r="D265" s="36"/>
      <c r="E265" s="36"/>
      <c r="F265" s="36"/>
      <c r="G265" s="36"/>
      <c r="H265" s="36"/>
      <c r="I265" s="36"/>
      <c r="J265" s="36"/>
      <c r="FW265" s="36"/>
      <c r="FX265" s="36"/>
      <c r="FY265" s="36"/>
      <c r="FZ265" s="36"/>
      <c r="GA265" s="36"/>
      <c r="GB265" s="36"/>
      <c r="GC265" s="36"/>
      <c r="GD265" s="36"/>
      <c r="GE265" s="36"/>
      <c r="GF265" s="36"/>
      <c r="GG265" s="36"/>
      <c r="GH265" s="36"/>
      <c r="GI265" s="36"/>
      <c r="GJ265" s="36"/>
      <c r="GK265" s="36"/>
      <c r="GL265" s="36"/>
      <c r="GM265" s="36"/>
      <c r="GN265" s="36"/>
      <c r="GO265" s="36"/>
      <c r="GP265" s="36"/>
      <c r="GQ265" s="36"/>
      <c r="GR265" s="36"/>
      <c r="GS265" s="36"/>
      <c r="GT265" s="36"/>
      <c r="GU265" s="36"/>
      <c r="GV265" s="36"/>
      <c r="GW265" s="36"/>
      <c r="GX265" s="36"/>
      <c r="GY265" s="36"/>
      <c r="GZ265" s="36"/>
      <c r="HA265" s="36"/>
      <c r="HB265" s="36"/>
      <c r="HC265" s="36"/>
      <c r="HD265" s="36"/>
      <c r="HE265" s="36"/>
      <c r="HF265" s="36"/>
      <c r="HG265" s="36"/>
      <c r="HH265" s="36"/>
      <c r="HI265" s="36"/>
      <c r="HJ265" s="36"/>
      <c r="HK265" s="36"/>
      <c r="HL265" s="36"/>
      <c r="HM265" s="36"/>
      <c r="HN265" s="36"/>
      <c r="HO265" s="36"/>
      <c r="HP265" s="36"/>
      <c r="HQ265" s="36"/>
      <c r="HR265" s="36"/>
      <c r="HS265" s="36"/>
      <c r="HT265" s="36"/>
      <c r="HU265" s="36"/>
      <c r="HV265" s="36"/>
      <c r="HW265" s="36"/>
      <c r="HX265" s="36"/>
      <c r="HY265" s="36"/>
      <c r="HZ265" s="36"/>
      <c r="IA265" s="36"/>
      <c r="IB265" s="36"/>
      <c r="IC265" s="36"/>
      <c r="ID265" s="36"/>
      <c r="IE265" s="36"/>
      <c r="IF265" s="36"/>
      <c r="IG265" s="36"/>
      <c r="IH265" s="36"/>
      <c r="II265" s="36"/>
      <c r="IJ265" s="36"/>
      <c r="IK265" s="36"/>
      <c r="IL265" s="36"/>
      <c r="IM265" s="36"/>
      <c r="IN265" s="36"/>
      <c r="IO265" s="36"/>
      <c r="IP265" s="36"/>
      <c r="IQ265" s="36"/>
      <c r="IR265" s="36"/>
      <c r="IS265" s="36"/>
      <c r="IT265" s="36"/>
      <c r="IU265" s="36"/>
      <c r="IV265" s="36"/>
    </row>
    <row r="266" spans="1:256" s="35" customFormat="1" ht="15">
      <c r="A266" s="36"/>
      <c r="B266" s="141"/>
      <c r="C266" s="36"/>
      <c r="D266" s="36"/>
      <c r="E266" s="36"/>
      <c r="F266" s="36"/>
      <c r="G266" s="36"/>
      <c r="H266" s="36"/>
      <c r="I266" s="36"/>
      <c r="J266" s="36"/>
      <c r="FW266" s="36"/>
      <c r="FX266" s="36"/>
      <c r="FY266" s="36"/>
      <c r="FZ266" s="36"/>
      <c r="GA266" s="36"/>
      <c r="GB266" s="36"/>
      <c r="GC266" s="36"/>
      <c r="GD266" s="36"/>
      <c r="GE266" s="36"/>
      <c r="GF266" s="36"/>
      <c r="GG266" s="36"/>
      <c r="GH266" s="36"/>
      <c r="GI266" s="36"/>
      <c r="GJ266" s="36"/>
      <c r="GK266" s="36"/>
      <c r="GL266" s="36"/>
      <c r="GM266" s="36"/>
      <c r="GN266" s="36"/>
      <c r="GO266" s="36"/>
      <c r="GP266" s="36"/>
      <c r="GQ266" s="36"/>
      <c r="GR266" s="36"/>
      <c r="GS266" s="36"/>
      <c r="GT266" s="36"/>
      <c r="GU266" s="36"/>
      <c r="GV266" s="36"/>
      <c r="GW266" s="36"/>
      <c r="GX266" s="36"/>
      <c r="GY266" s="36"/>
      <c r="GZ266" s="36"/>
      <c r="HA266" s="36"/>
      <c r="HB266" s="36"/>
      <c r="HC266" s="36"/>
      <c r="HD266" s="36"/>
      <c r="HE266" s="36"/>
      <c r="HF266" s="36"/>
      <c r="HG266" s="36"/>
      <c r="HH266" s="36"/>
      <c r="HI266" s="36"/>
      <c r="HJ266" s="36"/>
      <c r="HK266" s="36"/>
      <c r="HL266" s="36"/>
      <c r="HM266" s="36"/>
      <c r="HN266" s="36"/>
      <c r="HO266" s="36"/>
      <c r="HP266" s="36"/>
      <c r="HQ266" s="36"/>
      <c r="HR266" s="36"/>
      <c r="HS266" s="36"/>
      <c r="HT266" s="36"/>
      <c r="HU266" s="36"/>
      <c r="HV266" s="36"/>
      <c r="HW266" s="36"/>
      <c r="HX266" s="36"/>
      <c r="HY266" s="36"/>
      <c r="HZ266" s="36"/>
      <c r="IA266" s="36"/>
      <c r="IB266" s="36"/>
      <c r="IC266" s="36"/>
      <c r="ID266" s="36"/>
      <c r="IE266" s="36"/>
      <c r="IF266" s="36"/>
      <c r="IG266" s="36"/>
      <c r="IH266" s="36"/>
      <c r="II266" s="36"/>
      <c r="IJ266" s="36"/>
      <c r="IK266" s="36"/>
      <c r="IL266" s="36"/>
      <c r="IM266" s="36"/>
      <c r="IN266" s="36"/>
      <c r="IO266" s="36"/>
      <c r="IP266" s="36"/>
      <c r="IQ266" s="36"/>
      <c r="IR266" s="36"/>
      <c r="IS266" s="36"/>
      <c r="IT266" s="36"/>
      <c r="IU266" s="36"/>
      <c r="IV266" s="36"/>
    </row>
    <row r="267" spans="1:256" s="35" customFormat="1" ht="15">
      <c r="A267" s="36"/>
      <c r="B267" s="141"/>
      <c r="C267" s="36"/>
      <c r="D267" s="36"/>
      <c r="E267" s="36"/>
      <c r="F267" s="36"/>
      <c r="G267" s="36"/>
      <c r="H267" s="36"/>
      <c r="I267" s="36"/>
      <c r="J267" s="36"/>
      <c r="FW267" s="36"/>
      <c r="FX267" s="36"/>
      <c r="FY267" s="36"/>
      <c r="FZ267" s="36"/>
      <c r="GA267" s="36"/>
      <c r="GB267" s="36"/>
      <c r="GC267" s="36"/>
      <c r="GD267" s="36"/>
      <c r="GE267" s="36"/>
      <c r="GF267" s="36"/>
      <c r="GG267" s="36"/>
      <c r="GH267" s="36"/>
      <c r="GI267" s="36"/>
      <c r="GJ267" s="36"/>
      <c r="GK267" s="36"/>
      <c r="GL267" s="36"/>
      <c r="GM267" s="36"/>
      <c r="GN267" s="36"/>
      <c r="GO267" s="36"/>
      <c r="GP267" s="36"/>
      <c r="GQ267" s="36"/>
      <c r="GR267" s="36"/>
      <c r="GS267" s="36"/>
      <c r="GT267" s="36"/>
      <c r="GU267" s="36"/>
      <c r="GV267" s="36"/>
      <c r="GW267" s="36"/>
      <c r="GX267" s="36"/>
      <c r="GY267" s="36"/>
      <c r="GZ267" s="36"/>
      <c r="HA267" s="36"/>
      <c r="HB267" s="36"/>
      <c r="HC267" s="36"/>
      <c r="HD267" s="36"/>
      <c r="HE267" s="36"/>
      <c r="HF267" s="36"/>
      <c r="HG267" s="36"/>
      <c r="HH267" s="36"/>
      <c r="HI267" s="36"/>
      <c r="HJ267" s="36"/>
      <c r="HK267" s="36"/>
      <c r="HL267" s="36"/>
      <c r="HM267" s="36"/>
      <c r="HN267" s="36"/>
      <c r="HO267" s="36"/>
      <c r="HP267" s="36"/>
      <c r="HQ267" s="36"/>
      <c r="HR267" s="36"/>
      <c r="HS267" s="36"/>
      <c r="HT267" s="36"/>
      <c r="HU267" s="36"/>
      <c r="HV267" s="36"/>
      <c r="HW267" s="36"/>
      <c r="HX267" s="36"/>
      <c r="HY267" s="36"/>
      <c r="HZ267" s="36"/>
      <c r="IA267" s="36"/>
      <c r="IB267" s="36"/>
      <c r="IC267" s="36"/>
      <c r="ID267" s="36"/>
      <c r="IE267" s="36"/>
      <c r="IF267" s="36"/>
      <c r="IG267" s="36"/>
      <c r="IH267" s="36"/>
      <c r="II267" s="36"/>
      <c r="IJ267" s="36"/>
      <c r="IK267" s="36"/>
      <c r="IL267" s="36"/>
      <c r="IM267" s="36"/>
      <c r="IN267" s="36"/>
      <c r="IO267" s="36"/>
      <c r="IP267" s="36"/>
      <c r="IQ267" s="36"/>
      <c r="IR267" s="36"/>
      <c r="IS267" s="36"/>
      <c r="IT267" s="36"/>
      <c r="IU267" s="36"/>
      <c r="IV267" s="36"/>
    </row>
    <row r="268" spans="1:256" s="35" customFormat="1" ht="15">
      <c r="A268" s="36"/>
      <c r="B268" s="141"/>
      <c r="C268" s="36"/>
      <c r="D268" s="36"/>
      <c r="E268" s="36"/>
      <c r="F268" s="36"/>
      <c r="G268" s="36"/>
      <c r="H268" s="36"/>
      <c r="I268" s="36"/>
      <c r="J268" s="36"/>
      <c r="FW268" s="36"/>
      <c r="FX268" s="36"/>
      <c r="FY268" s="36"/>
      <c r="FZ268" s="36"/>
      <c r="GA268" s="36"/>
      <c r="GB268" s="36"/>
      <c r="GC268" s="36"/>
      <c r="GD268" s="36"/>
      <c r="GE268" s="36"/>
      <c r="GF268" s="36"/>
      <c r="GG268" s="36"/>
      <c r="GH268" s="36"/>
      <c r="GI268" s="36"/>
      <c r="GJ268" s="36"/>
      <c r="GK268" s="36"/>
      <c r="GL268" s="36"/>
      <c r="GM268" s="36"/>
      <c r="GN268" s="36"/>
      <c r="GO268" s="36"/>
      <c r="GP268" s="36"/>
      <c r="GQ268" s="36"/>
      <c r="GR268" s="36"/>
      <c r="GS268" s="36"/>
      <c r="GT268" s="36"/>
      <c r="GU268" s="36"/>
      <c r="GV268" s="36"/>
      <c r="GW268" s="36"/>
      <c r="GX268" s="36"/>
      <c r="GY268" s="36"/>
      <c r="GZ268" s="36"/>
      <c r="HA268" s="36"/>
      <c r="HB268" s="36"/>
      <c r="HC268" s="36"/>
      <c r="HD268" s="36"/>
      <c r="HE268" s="36"/>
      <c r="HF268" s="36"/>
      <c r="HG268" s="36"/>
      <c r="HH268" s="36"/>
      <c r="HI268" s="36"/>
      <c r="HJ268" s="36"/>
      <c r="HK268" s="36"/>
      <c r="HL268" s="36"/>
      <c r="HM268" s="36"/>
      <c r="HN268" s="36"/>
      <c r="HO268" s="36"/>
      <c r="HP268" s="36"/>
      <c r="HQ268" s="36"/>
      <c r="HR268" s="36"/>
      <c r="HS268" s="36"/>
      <c r="HT268" s="36"/>
      <c r="HU268" s="36"/>
      <c r="HV268" s="36"/>
      <c r="HW268" s="36"/>
      <c r="HX268" s="36"/>
      <c r="HY268" s="36"/>
      <c r="HZ268" s="36"/>
      <c r="IA268" s="36"/>
      <c r="IB268" s="36"/>
      <c r="IC268" s="36"/>
      <c r="ID268" s="36"/>
      <c r="IE268" s="36"/>
      <c r="IF268" s="36"/>
      <c r="IG268" s="36"/>
      <c r="IH268" s="36"/>
      <c r="II268" s="36"/>
      <c r="IJ268" s="36"/>
      <c r="IK268" s="36"/>
      <c r="IL268" s="36"/>
      <c r="IM268" s="36"/>
      <c r="IN268" s="36"/>
      <c r="IO268" s="36"/>
      <c r="IP268" s="36"/>
      <c r="IQ268" s="36"/>
      <c r="IR268" s="36"/>
      <c r="IS268" s="36"/>
      <c r="IT268" s="36"/>
      <c r="IU268" s="36"/>
      <c r="IV268" s="36"/>
    </row>
    <row r="269" spans="1:256" s="35" customFormat="1" ht="15">
      <c r="A269" s="36"/>
      <c r="B269" s="141"/>
      <c r="C269" s="36"/>
      <c r="D269" s="36"/>
      <c r="E269" s="36"/>
      <c r="F269" s="36"/>
      <c r="G269" s="36"/>
      <c r="H269" s="36"/>
      <c r="I269" s="36"/>
      <c r="J269" s="36"/>
      <c r="FW269" s="36"/>
      <c r="FX269" s="36"/>
      <c r="FY269" s="36"/>
      <c r="FZ269" s="36"/>
      <c r="GA269" s="36"/>
      <c r="GB269" s="36"/>
      <c r="GC269" s="36"/>
      <c r="GD269" s="36"/>
      <c r="GE269" s="36"/>
      <c r="GF269" s="36"/>
      <c r="GG269" s="36"/>
      <c r="GH269" s="36"/>
      <c r="GI269" s="36"/>
      <c r="GJ269" s="36"/>
      <c r="GK269" s="36"/>
      <c r="GL269" s="36"/>
      <c r="GM269" s="36"/>
      <c r="GN269" s="36"/>
      <c r="GO269" s="36"/>
      <c r="GP269" s="36"/>
      <c r="GQ269" s="36"/>
      <c r="GR269" s="36"/>
      <c r="GS269" s="36"/>
      <c r="GT269" s="36"/>
      <c r="GU269" s="36"/>
      <c r="GV269" s="36"/>
      <c r="GW269" s="36"/>
      <c r="GX269" s="36"/>
      <c r="GY269" s="36"/>
      <c r="GZ269" s="36"/>
      <c r="HA269" s="36"/>
      <c r="HB269" s="36"/>
      <c r="HC269" s="36"/>
      <c r="HD269" s="36"/>
      <c r="HE269" s="36"/>
      <c r="HF269" s="36"/>
      <c r="HG269" s="36"/>
      <c r="HH269" s="36"/>
      <c r="HI269" s="36"/>
      <c r="HJ269" s="36"/>
      <c r="HK269" s="36"/>
      <c r="HL269" s="36"/>
      <c r="HM269" s="36"/>
      <c r="HN269" s="36"/>
      <c r="HO269" s="36"/>
      <c r="HP269" s="36"/>
      <c r="HQ269" s="36"/>
      <c r="HR269" s="36"/>
      <c r="HS269" s="36"/>
      <c r="HT269" s="36"/>
      <c r="HU269" s="36"/>
      <c r="HV269" s="36"/>
      <c r="HW269" s="36"/>
      <c r="HX269" s="36"/>
      <c r="HY269" s="36"/>
      <c r="HZ269" s="36"/>
      <c r="IA269" s="36"/>
      <c r="IB269" s="36"/>
      <c r="IC269" s="36"/>
      <c r="ID269" s="36"/>
      <c r="IE269" s="36"/>
      <c r="IF269" s="36"/>
      <c r="IG269" s="36"/>
      <c r="IH269" s="36"/>
      <c r="II269" s="36"/>
      <c r="IJ269" s="36"/>
      <c r="IK269" s="36"/>
      <c r="IL269" s="36"/>
      <c r="IM269" s="36"/>
      <c r="IN269" s="36"/>
      <c r="IO269" s="36"/>
      <c r="IP269" s="36"/>
      <c r="IQ269" s="36"/>
      <c r="IR269" s="36"/>
      <c r="IS269" s="36"/>
      <c r="IT269" s="36"/>
      <c r="IU269" s="36"/>
      <c r="IV269" s="36"/>
    </row>
    <row r="270" spans="1:256" s="35" customFormat="1" ht="15">
      <c r="A270" s="36"/>
      <c r="B270" s="141"/>
      <c r="C270" s="36"/>
      <c r="D270" s="36"/>
      <c r="E270" s="36"/>
      <c r="F270" s="36"/>
      <c r="G270" s="36"/>
      <c r="H270" s="36"/>
      <c r="I270" s="36"/>
      <c r="J270" s="36"/>
      <c r="FW270" s="36"/>
      <c r="FX270" s="36"/>
      <c r="FY270" s="36"/>
      <c r="FZ270" s="36"/>
      <c r="GA270" s="36"/>
      <c r="GB270" s="36"/>
      <c r="GC270" s="36"/>
      <c r="GD270" s="36"/>
      <c r="GE270" s="36"/>
      <c r="GF270" s="36"/>
      <c r="GG270" s="36"/>
      <c r="GH270" s="36"/>
      <c r="GI270" s="36"/>
      <c r="GJ270" s="36"/>
      <c r="GK270" s="36"/>
      <c r="GL270" s="36"/>
      <c r="GM270" s="36"/>
      <c r="GN270" s="36"/>
      <c r="GO270" s="36"/>
      <c r="GP270" s="36"/>
      <c r="GQ270" s="36"/>
      <c r="GR270" s="36"/>
      <c r="GS270" s="36"/>
      <c r="GT270" s="36"/>
      <c r="GU270" s="36"/>
      <c r="GV270" s="36"/>
      <c r="GW270" s="36"/>
      <c r="GX270" s="36"/>
      <c r="GY270" s="36"/>
      <c r="GZ270" s="36"/>
      <c r="HA270" s="36"/>
      <c r="HB270" s="36"/>
      <c r="HC270" s="36"/>
      <c r="HD270" s="36"/>
      <c r="HE270" s="36"/>
      <c r="HF270" s="36"/>
      <c r="HG270" s="36"/>
      <c r="HH270" s="36"/>
      <c r="HI270" s="36"/>
      <c r="HJ270" s="36"/>
      <c r="HK270" s="36"/>
      <c r="HL270" s="36"/>
      <c r="HM270" s="36"/>
      <c r="HN270" s="36"/>
      <c r="HO270" s="36"/>
      <c r="HP270" s="36"/>
      <c r="HQ270" s="36"/>
      <c r="HR270" s="36"/>
      <c r="HS270" s="36"/>
      <c r="HT270" s="36"/>
      <c r="HU270" s="36"/>
      <c r="HV270" s="36"/>
      <c r="HW270" s="36"/>
      <c r="HX270" s="36"/>
      <c r="HY270" s="36"/>
      <c r="HZ270" s="36"/>
      <c r="IA270" s="36"/>
      <c r="IB270" s="36"/>
      <c r="IC270" s="36"/>
      <c r="ID270" s="36"/>
      <c r="IE270" s="36"/>
      <c r="IF270" s="36"/>
      <c r="IG270" s="36"/>
      <c r="IH270" s="36"/>
      <c r="II270" s="36"/>
      <c r="IJ270" s="36"/>
      <c r="IK270" s="36"/>
      <c r="IL270" s="36"/>
      <c r="IM270" s="36"/>
      <c r="IN270" s="36"/>
      <c r="IO270" s="36"/>
      <c r="IP270" s="36"/>
      <c r="IQ270" s="36"/>
      <c r="IR270" s="36"/>
      <c r="IS270" s="36"/>
      <c r="IT270" s="36"/>
      <c r="IU270" s="36"/>
      <c r="IV270" s="36"/>
    </row>
    <row r="271" spans="1:256" s="35" customFormat="1" ht="15">
      <c r="A271" s="36"/>
      <c r="B271" s="141"/>
      <c r="C271" s="36"/>
      <c r="D271" s="36"/>
      <c r="E271" s="36"/>
      <c r="F271" s="36"/>
      <c r="G271" s="36"/>
      <c r="H271" s="36"/>
      <c r="I271" s="36"/>
      <c r="J271" s="36"/>
      <c r="FW271" s="36"/>
      <c r="FX271" s="36"/>
      <c r="FY271" s="36"/>
      <c r="FZ271" s="36"/>
      <c r="GA271" s="36"/>
      <c r="GB271" s="36"/>
      <c r="GC271" s="36"/>
      <c r="GD271" s="36"/>
      <c r="GE271" s="36"/>
      <c r="GF271" s="36"/>
      <c r="GG271" s="36"/>
      <c r="GH271" s="36"/>
      <c r="GI271" s="36"/>
      <c r="GJ271" s="36"/>
      <c r="GK271" s="36"/>
      <c r="GL271" s="36"/>
      <c r="GM271" s="36"/>
      <c r="GN271" s="36"/>
      <c r="GO271" s="36"/>
      <c r="GP271" s="36"/>
      <c r="GQ271" s="36"/>
      <c r="GR271" s="36"/>
      <c r="GS271" s="36"/>
      <c r="GT271" s="36"/>
      <c r="GU271" s="36"/>
      <c r="GV271" s="36"/>
      <c r="GW271" s="36"/>
      <c r="GX271" s="36"/>
      <c r="GY271" s="36"/>
      <c r="GZ271" s="36"/>
      <c r="HA271" s="36"/>
      <c r="HB271" s="36"/>
      <c r="HC271" s="36"/>
      <c r="HD271" s="36"/>
      <c r="HE271" s="36"/>
      <c r="HF271" s="36"/>
      <c r="HG271" s="36"/>
      <c r="HH271" s="36"/>
      <c r="HI271" s="36"/>
      <c r="HJ271" s="36"/>
      <c r="HK271" s="36"/>
      <c r="HL271" s="36"/>
      <c r="HM271" s="36"/>
      <c r="HN271" s="36"/>
      <c r="HO271" s="36"/>
      <c r="HP271" s="36"/>
      <c r="HQ271" s="36"/>
      <c r="HR271" s="36"/>
      <c r="HS271" s="36"/>
      <c r="HT271" s="36"/>
      <c r="HU271" s="36"/>
      <c r="HV271" s="36"/>
      <c r="HW271" s="36"/>
      <c r="HX271" s="36"/>
      <c r="HY271" s="36"/>
      <c r="HZ271" s="36"/>
      <c r="IA271" s="36"/>
      <c r="IB271" s="36"/>
      <c r="IC271" s="36"/>
      <c r="ID271" s="36"/>
      <c r="IE271" s="36"/>
      <c r="IF271" s="36"/>
      <c r="IG271" s="36"/>
      <c r="IH271" s="36"/>
      <c r="II271" s="36"/>
      <c r="IJ271" s="36"/>
      <c r="IK271" s="36"/>
      <c r="IL271" s="36"/>
      <c r="IM271" s="36"/>
      <c r="IN271" s="36"/>
      <c r="IO271" s="36"/>
      <c r="IP271" s="36"/>
      <c r="IQ271" s="36"/>
      <c r="IR271" s="36"/>
      <c r="IS271" s="36"/>
      <c r="IT271" s="36"/>
      <c r="IU271" s="36"/>
      <c r="IV271" s="36"/>
    </row>
    <row r="272" spans="1:256" s="35" customFormat="1" ht="15">
      <c r="A272" s="36"/>
      <c r="B272" s="141"/>
      <c r="C272" s="36"/>
      <c r="D272" s="36"/>
      <c r="E272" s="36"/>
      <c r="F272" s="36"/>
      <c r="G272" s="36"/>
      <c r="H272" s="36"/>
      <c r="I272" s="36"/>
      <c r="J272" s="36"/>
      <c r="FW272" s="36"/>
      <c r="FX272" s="36"/>
      <c r="FY272" s="36"/>
      <c r="FZ272" s="36"/>
      <c r="GA272" s="36"/>
      <c r="GB272" s="36"/>
      <c r="GC272" s="36"/>
      <c r="GD272" s="36"/>
      <c r="GE272" s="36"/>
      <c r="GF272" s="36"/>
      <c r="GG272" s="36"/>
      <c r="GH272" s="36"/>
      <c r="GI272" s="36"/>
      <c r="GJ272" s="36"/>
      <c r="GK272" s="36"/>
      <c r="GL272" s="36"/>
      <c r="GM272" s="36"/>
      <c r="GN272" s="36"/>
      <c r="GO272" s="36"/>
      <c r="GP272" s="36"/>
      <c r="GQ272" s="36"/>
      <c r="GR272" s="36"/>
      <c r="GS272" s="36"/>
      <c r="GT272" s="36"/>
      <c r="GU272" s="36"/>
      <c r="GV272" s="36"/>
      <c r="GW272" s="36"/>
      <c r="GX272" s="36"/>
      <c r="GY272" s="36"/>
      <c r="GZ272" s="36"/>
      <c r="HA272" s="36"/>
      <c r="HB272" s="36"/>
      <c r="HC272" s="36"/>
      <c r="HD272" s="36"/>
      <c r="HE272" s="36"/>
      <c r="HF272" s="36"/>
      <c r="HG272" s="36"/>
      <c r="HH272" s="36"/>
      <c r="HI272" s="36"/>
      <c r="HJ272" s="36"/>
      <c r="HK272" s="36"/>
      <c r="HL272" s="36"/>
      <c r="HM272" s="36"/>
      <c r="HN272" s="36"/>
      <c r="HO272" s="36"/>
      <c r="HP272" s="36"/>
      <c r="HQ272" s="36"/>
      <c r="HR272" s="36"/>
      <c r="HS272" s="36"/>
      <c r="HT272" s="36"/>
      <c r="HU272" s="36"/>
      <c r="HV272" s="36"/>
      <c r="HW272" s="36"/>
      <c r="HX272" s="36"/>
      <c r="HY272" s="36"/>
      <c r="HZ272" s="36"/>
      <c r="IA272" s="36"/>
      <c r="IB272" s="36"/>
      <c r="IC272" s="36"/>
      <c r="ID272" s="36"/>
      <c r="IE272" s="36"/>
      <c r="IF272" s="36"/>
      <c r="IG272" s="36"/>
      <c r="IH272" s="36"/>
      <c r="II272" s="36"/>
      <c r="IJ272" s="36"/>
      <c r="IK272" s="36"/>
      <c r="IL272" s="36"/>
      <c r="IM272" s="36"/>
      <c r="IN272" s="36"/>
      <c r="IO272" s="36"/>
      <c r="IP272" s="36"/>
      <c r="IQ272" s="36"/>
      <c r="IR272" s="36"/>
      <c r="IS272" s="36"/>
      <c r="IT272" s="36"/>
      <c r="IU272" s="36"/>
      <c r="IV272" s="36"/>
    </row>
    <row r="273" spans="1:256" s="35" customFormat="1" ht="15">
      <c r="A273" s="36"/>
      <c r="B273" s="141"/>
      <c r="C273" s="36"/>
      <c r="D273" s="36"/>
      <c r="E273" s="36"/>
      <c r="F273" s="36"/>
      <c r="G273" s="36"/>
      <c r="H273" s="36"/>
      <c r="I273" s="36"/>
      <c r="J273" s="36"/>
      <c r="FW273" s="36"/>
      <c r="FX273" s="36"/>
      <c r="FY273" s="36"/>
      <c r="FZ273" s="36"/>
      <c r="GA273" s="36"/>
      <c r="GB273" s="36"/>
      <c r="GC273" s="36"/>
      <c r="GD273" s="36"/>
      <c r="GE273" s="36"/>
      <c r="GF273" s="36"/>
      <c r="GG273" s="36"/>
      <c r="GH273" s="36"/>
      <c r="GI273" s="36"/>
      <c r="GJ273" s="36"/>
      <c r="GK273" s="36"/>
      <c r="GL273" s="36"/>
      <c r="GM273" s="36"/>
      <c r="GN273" s="36"/>
      <c r="GO273" s="36"/>
      <c r="GP273" s="36"/>
      <c r="GQ273" s="36"/>
      <c r="GR273" s="36"/>
      <c r="GS273" s="36"/>
      <c r="GT273" s="36"/>
      <c r="GU273" s="36"/>
      <c r="GV273" s="36"/>
      <c r="GW273" s="36"/>
      <c r="GX273" s="36"/>
      <c r="GY273" s="36"/>
      <c r="GZ273" s="36"/>
      <c r="HA273" s="36"/>
      <c r="HB273" s="36"/>
      <c r="HC273" s="36"/>
      <c r="HD273" s="36"/>
      <c r="HE273" s="36"/>
      <c r="HF273" s="36"/>
      <c r="HG273" s="36"/>
      <c r="HH273" s="36"/>
      <c r="HI273" s="36"/>
      <c r="HJ273" s="36"/>
      <c r="HK273" s="36"/>
      <c r="HL273" s="36"/>
      <c r="HM273" s="36"/>
      <c r="HN273" s="36"/>
      <c r="HO273" s="36"/>
      <c r="HP273" s="36"/>
      <c r="HQ273" s="36"/>
      <c r="HR273" s="36"/>
      <c r="HS273" s="36"/>
      <c r="HT273" s="36"/>
      <c r="HU273" s="36"/>
      <c r="HV273" s="36"/>
      <c r="HW273" s="36"/>
      <c r="HX273" s="36"/>
      <c r="HY273" s="36"/>
      <c r="HZ273" s="36"/>
      <c r="IA273" s="36"/>
      <c r="IB273" s="36"/>
      <c r="IC273" s="36"/>
      <c r="ID273" s="36"/>
      <c r="IE273" s="36"/>
      <c r="IF273" s="36"/>
      <c r="IG273" s="36"/>
      <c r="IH273" s="36"/>
      <c r="II273" s="36"/>
      <c r="IJ273" s="36"/>
      <c r="IK273" s="36"/>
      <c r="IL273" s="36"/>
      <c r="IM273" s="36"/>
      <c r="IN273" s="36"/>
      <c r="IO273" s="36"/>
      <c r="IP273" s="36"/>
      <c r="IQ273" s="36"/>
      <c r="IR273" s="36"/>
      <c r="IS273" s="36"/>
      <c r="IT273" s="36"/>
      <c r="IU273" s="36"/>
      <c r="IV273" s="36"/>
    </row>
    <row r="274" spans="1:256" s="35" customFormat="1" ht="15">
      <c r="A274" s="36"/>
      <c r="B274" s="141"/>
      <c r="C274" s="36"/>
      <c r="D274" s="36"/>
      <c r="E274" s="36"/>
      <c r="F274" s="36"/>
      <c r="G274" s="36"/>
      <c r="H274" s="36"/>
      <c r="I274" s="36"/>
      <c r="J274" s="36"/>
      <c r="FW274" s="36"/>
      <c r="FX274" s="36"/>
      <c r="FY274" s="36"/>
      <c r="FZ274" s="36"/>
      <c r="GA274" s="36"/>
      <c r="GB274" s="36"/>
      <c r="GC274" s="36"/>
      <c r="GD274" s="36"/>
      <c r="GE274" s="36"/>
      <c r="GF274" s="36"/>
      <c r="GG274" s="36"/>
      <c r="GH274" s="36"/>
      <c r="GI274" s="36"/>
      <c r="GJ274" s="36"/>
      <c r="GK274" s="36"/>
      <c r="GL274" s="36"/>
      <c r="GM274" s="36"/>
      <c r="GN274" s="36"/>
      <c r="GO274" s="36"/>
      <c r="GP274" s="36"/>
      <c r="GQ274" s="36"/>
      <c r="GR274" s="36"/>
      <c r="GS274" s="36"/>
      <c r="GT274" s="36"/>
      <c r="GU274" s="36"/>
      <c r="GV274" s="36"/>
      <c r="GW274" s="36"/>
      <c r="GX274" s="36"/>
      <c r="GY274" s="36"/>
      <c r="GZ274" s="36"/>
      <c r="HA274" s="36"/>
      <c r="HB274" s="36"/>
      <c r="HC274" s="36"/>
      <c r="HD274" s="36"/>
      <c r="HE274" s="36"/>
      <c r="HF274" s="36"/>
      <c r="HG274" s="36"/>
      <c r="HH274" s="36"/>
      <c r="HI274" s="36"/>
      <c r="HJ274" s="36"/>
      <c r="HK274" s="36"/>
      <c r="HL274" s="36"/>
      <c r="HM274" s="36"/>
      <c r="HN274" s="36"/>
      <c r="HO274" s="36"/>
      <c r="HP274" s="36"/>
      <c r="HQ274" s="36"/>
      <c r="HR274" s="36"/>
      <c r="HS274" s="36"/>
      <c r="HT274" s="36"/>
      <c r="HU274" s="36"/>
      <c r="HV274" s="36"/>
      <c r="HW274" s="36"/>
      <c r="HX274" s="36"/>
      <c r="HY274" s="36"/>
      <c r="HZ274" s="36"/>
      <c r="IA274" s="36"/>
      <c r="IB274" s="36"/>
      <c r="IC274" s="36"/>
      <c r="ID274" s="36"/>
      <c r="IE274" s="36"/>
      <c r="IF274" s="36"/>
      <c r="IG274" s="36"/>
      <c r="IH274" s="36"/>
      <c r="II274" s="36"/>
      <c r="IJ274" s="36"/>
      <c r="IK274" s="36"/>
      <c r="IL274" s="36"/>
      <c r="IM274" s="36"/>
      <c r="IN274" s="36"/>
      <c r="IO274" s="36"/>
      <c r="IP274" s="36"/>
      <c r="IQ274" s="36"/>
      <c r="IR274" s="36"/>
      <c r="IS274" s="36"/>
      <c r="IT274" s="36"/>
      <c r="IU274" s="36"/>
      <c r="IV274" s="36"/>
    </row>
    <row r="275" spans="1:256" s="35" customFormat="1" ht="15">
      <c r="A275" s="36"/>
      <c r="B275" s="141"/>
      <c r="C275" s="36"/>
      <c r="D275" s="36"/>
      <c r="E275" s="36"/>
      <c r="F275" s="36"/>
      <c r="G275" s="36"/>
      <c r="H275" s="36"/>
      <c r="I275" s="36"/>
      <c r="J275" s="36"/>
      <c r="FW275" s="36"/>
      <c r="FX275" s="36"/>
      <c r="FY275" s="36"/>
      <c r="FZ275" s="36"/>
      <c r="GA275" s="36"/>
      <c r="GB275" s="36"/>
      <c r="GC275" s="36"/>
      <c r="GD275" s="36"/>
      <c r="GE275" s="36"/>
      <c r="GF275" s="36"/>
      <c r="GG275" s="36"/>
      <c r="GH275" s="36"/>
      <c r="GI275" s="36"/>
      <c r="GJ275" s="36"/>
      <c r="GK275" s="36"/>
      <c r="GL275" s="36"/>
      <c r="GM275" s="36"/>
      <c r="GN275" s="36"/>
      <c r="GO275" s="36"/>
      <c r="GP275" s="36"/>
      <c r="GQ275" s="36"/>
      <c r="GR275" s="36"/>
      <c r="GS275" s="36"/>
      <c r="GT275" s="36"/>
      <c r="GU275" s="36"/>
      <c r="GV275" s="36"/>
      <c r="GW275" s="36"/>
      <c r="GX275" s="36"/>
      <c r="GY275" s="36"/>
      <c r="GZ275" s="36"/>
      <c r="HA275" s="36"/>
      <c r="HB275" s="36"/>
      <c r="HC275" s="36"/>
      <c r="HD275" s="36"/>
      <c r="HE275" s="36"/>
      <c r="HF275" s="36"/>
      <c r="HG275" s="36"/>
      <c r="HH275" s="36"/>
      <c r="HI275" s="36"/>
      <c r="HJ275" s="36"/>
      <c r="HK275" s="36"/>
      <c r="HL275" s="36"/>
      <c r="HM275" s="36"/>
      <c r="HN275" s="36"/>
      <c r="HO275" s="36"/>
      <c r="HP275" s="36"/>
      <c r="HQ275" s="36"/>
      <c r="HR275" s="36"/>
      <c r="HS275" s="36"/>
      <c r="HT275" s="36"/>
      <c r="HU275" s="36"/>
      <c r="HV275" s="36"/>
      <c r="HW275" s="36"/>
      <c r="HX275" s="36"/>
      <c r="HY275" s="36"/>
      <c r="HZ275" s="36"/>
      <c r="IA275" s="36"/>
      <c r="IB275" s="36"/>
      <c r="IC275" s="36"/>
      <c r="ID275" s="36"/>
      <c r="IE275" s="36"/>
      <c r="IF275" s="36"/>
      <c r="IG275" s="36"/>
      <c r="IH275" s="36"/>
      <c r="II275" s="36"/>
      <c r="IJ275" s="36"/>
      <c r="IK275" s="36"/>
      <c r="IL275" s="36"/>
      <c r="IM275" s="36"/>
      <c r="IN275" s="36"/>
      <c r="IO275" s="36"/>
      <c r="IP275" s="36"/>
      <c r="IQ275" s="36"/>
      <c r="IR275" s="36"/>
      <c r="IS275" s="36"/>
      <c r="IT275" s="36"/>
      <c r="IU275" s="36"/>
      <c r="IV275" s="36"/>
    </row>
    <row r="276" spans="1:256" s="35" customFormat="1" ht="15">
      <c r="A276" s="36"/>
      <c r="B276" s="141"/>
      <c r="C276" s="36"/>
      <c r="D276" s="36"/>
      <c r="E276" s="36"/>
      <c r="F276" s="36"/>
      <c r="G276" s="36"/>
      <c r="H276" s="36"/>
      <c r="I276" s="36"/>
      <c r="J276" s="36"/>
      <c r="FW276" s="36"/>
      <c r="FX276" s="36"/>
      <c r="FY276" s="36"/>
      <c r="FZ276" s="36"/>
      <c r="GA276" s="36"/>
      <c r="GB276" s="36"/>
      <c r="GC276" s="36"/>
      <c r="GD276" s="36"/>
      <c r="GE276" s="36"/>
      <c r="GF276" s="36"/>
      <c r="GG276" s="36"/>
      <c r="GH276" s="36"/>
      <c r="GI276" s="36"/>
      <c r="GJ276" s="36"/>
      <c r="GK276" s="36"/>
      <c r="GL276" s="36"/>
      <c r="GM276" s="36"/>
      <c r="GN276" s="36"/>
      <c r="GO276" s="36"/>
      <c r="GP276" s="36"/>
      <c r="GQ276" s="36"/>
      <c r="GR276" s="36"/>
      <c r="GS276" s="36"/>
      <c r="GT276" s="36"/>
      <c r="GU276" s="36"/>
      <c r="GV276" s="36"/>
      <c r="GW276" s="36"/>
      <c r="GX276" s="36"/>
      <c r="GY276" s="36"/>
      <c r="GZ276" s="36"/>
      <c r="HA276" s="36"/>
      <c r="HB276" s="36"/>
      <c r="HC276" s="36"/>
      <c r="HD276" s="36"/>
      <c r="HE276" s="36"/>
      <c r="HF276" s="36"/>
      <c r="HG276" s="36"/>
      <c r="HH276" s="36"/>
      <c r="HI276" s="36"/>
      <c r="HJ276" s="36"/>
      <c r="HK276" s="36"/>
      <c r="HL276" s="36"/>
      <c r="HM276" s="36"/>
      <c r="HN276" s="36"/>
      <c r="HO276" s="36"/>
      <c r="HP276" s="36"/>
      <c r="HQ276" s="36"/>
      <c r="HR276" s="36"/>
      <c r="HS276" s="36"/>
      <c r="HT276" s="36"/>
      <c r="HU276" s="36"/>
      <c r="HV276" s="36"/>
      <c r="HW276" s="36"/>
      <c r="HX276" s="36"/>
      <c r="HY276" s="36"/>
      <c r="HZ276" s="36"/>
      <c r="IA276" s="36"/>
      <c r="IB276" s="36"/>
      <c r="IC276" s="36"/>
      <c r="ID276" s="36"/>
      <c r="IE276" s="36"/>
      <c r="IF276" s="36"/>
      <c r="IG276" s="36"/>
      <c r="IH276" s="36"/>
      <c r="II276" s="36"/>
      <c r="IJ276" s="36"/>
      <c r="IK276" s="36"/>
      <c r="IL276" s="36"/>
      <c r="IM276" s="36"/>
      <c r="IN276" s="36"/>
      <c r="IO276" s="36"/>
      <c r="IP276" s="36"/>
      <c r="IQ276" s="36"/>
      <c r="IR276" s="36"/>
      <c r="IS276" s="36"/>
      <c r="IT276" s="36"/>
      <c r="IU276" s="36"/>
      <c r="IV276" s="36"/>
    </row>
    <row r="277" spans="1:256" s="35" customFormat="1" ht="15">
      <c r="A277" s="36"/>
      <c r="B277" s="141"/>
      <c r="C277" s="36"/>
      <c r="D277" s="36"/>
      <c r="E277" s="36"/>
      <c r="F277" s="36"/>
      <c r="G277" s="36"/>
      <c r="H277" s="36"/>
      <c r="I277" s="36"/>
      <c r="J277" s="36"/>
      <c r="FW277" s="36"/>
      <c r="FX277" s="36"/>
      <c r="FY277" s="36"/>
      <c r="FZ277" s="36"/>
      <c r="GA277" s="36"/>
      <c r="GB277" s="36"/>
      <c r="GC277" s="36"/>
      <c r="GD277" s="36"/>
      <c r="GE277" s="36"/>
      <c r="GF277" s="36"/>
      <c r="GG277" s="36"/>
      <c r="GH277" s="36"/>
      <c r="GI277" s="36"/>
      <c r="GJ277" s="36"/>
      <c r="GK277" s="36"/>
      <c r="GL277" s="36"/>
      <c r="GM277" s="36"/>
      <c r="GN277" s="36"/>
      <c r="GO277" s="36"/>
      <c r="GP277" s="36"/>
      <c r="GQ277" s="36"/>
      <c r="GR277" s="36"/>
      <c r="GS277" s="36"/>
      <c r="GT277" s="36"/>
      <c r="GU277" s="36"/>
      <c r="GV277" s="36"/>
      <c r="GW277" s="36"/>
      <c r="GX277" s="36"/>
      <c r="GY277" s="36"/>
      <c r="GZ277" s="36"/>
      <c r="HA277" s="36"/>
      <c r="HB277" s="36"/>
      <c r="HC277" s="36"/>
      <c r="HD277" s="36"/>
      <c r="HE277" s="36"/>
      <c r="HF277" s="36"/>
      <c r="HG277" s="36"/>
      <c r="HH277" s="36"/>
      <c r="HI277" s="36"/>
      <c r="HJ277" s="36"/>
      <c r="HK277" s="36"/>
      <c r="HL277" s="36"/>
      <c r="HM277" s="36"/>
      <c r="HN277" s="36"/>
      <c r="HO277" s="36"/>
      <c r="HP277" s="36"/>
      <c r="HQ277" s="36"/>
      <c r="HR277" s="36"/>
      <c r="HS277" s="36"/>
      <c r="HT277" s="36"/>
      <c r="HU277" s="36"/>
      <c r="HV277" s="36"/>
      <c r="HW277" s="36"/>
      <c r="HX277" s="36"/>
      <c r="HY277" s="36"/>
      <c r="HZ277" s="36"/>
      <c r="IA277" s="36"/>
      <c r="IB277" s="36"/>
      <c r="IC277" s="36"/>
      <c r="ID277" s="36"/>
      <c r="IE277" s="36"/>
      <c r="IF277" s="36"/>
      <c r="IG277" s="36"/>
      <c r="IH277" s="36"/>
      <c r="II277" s="36"/>
      <c r="IJ277" s="36"/>
      <c r="IK277" s="36"/>
      <c r="IL277" s="36"/>
      <c r="IM277" s="36"/>
      <c r="IN277" s="36"/>
      <c r="IO277" s="36"/>
      <c r="IP277" s="36"/>
      <c r="IQ277" s="36"/>
      <c r="IR277" s="36"/>
      <c r="IS277" s="36"/>
      <c r="IT277" s="36"/>
      <c r="IU277" s="36"/>
      <c r="IV277" s="36"/>
    </row>
    <row r="278" spans="1:256" s="35" customFormat="1" ht="15">
      <c r="A278" s="36"/>
      <c r="B278" s="141"/>
      <c r="C278" s="36"/>
      <c r="D278" s="36"/>
      <c r="E278" s="36"/>
      <c r="F278" s="36"/>
      <c r="G278" s="36"/>
      <c r="H278" s="36"/>
      <c r="I278" s="36"/>
      <c r="J278" s="36"/>
      <c r="FW278" s="36"/>
      <c r="FX278" s="36"/>
      <c r="FY278" s="36"/>
      <c r="FZ278" s="36"/>
      <c r="GA278" s="36"/>
      <c r="GB278" s="36"/>
      <c r="GC278" s="36"/>
      <c r="GD278" s="36"/>
      <c r="GE278" s="36"/>
      <c r="GF278" s="36"/>
      <c r="GG278" s="36"/>
      <c r="GH278" s="36"/>
      <c r="GI278" s="36"/>
      <c r="GJ278" s="36"/>
      <c r="GK278" s="36"/>
      <c r="GL278" s="36"/>
      <c r="GM278" s="36"/>
      <c r="GN278" s="36"/>
      <c r="GO278" s="36"/>
      <c r="GP278" s="36"/>
      <c r="GQ278" s="36"/>
      <c r="GR278" s="36"/>
      <c r="GS278" s="36"/>
      <c r="GT278" s="36"/>
      <c r="GU278" s="36"/>
      <c r="GV278" s="36"/>
      <c r="GW278" s="36"/>
      <c r="GX278" s="36"/>
      <c r="GY278" s="36"/>
      <c r="GZ278" s="36"/>
      <c r="HA278" s="36"/>
      <c r="HB278" s="36"/>
      <c r="HC278" s="36"/>
      <c r="HD278" s="36"/>
      <c r="HE278" s="36"/>
      <c r="HF278" s="36"/>
      <c r="HG278" s="36"/>
      <c r="HH278" s="36"/>
      <c r="HI278" s="36"/>
      <c r="HJ278" s="36"/>
      <c r="HK278" s="36"/>
      <c r="HL278" s="36"/>
      <c r="HM278" s="36"/>
      <c r="HN278" s="36"/>
      <c r="HO278" s="36"/>
      <c r="HP278" s="36"/>
      <c r="HQ278" s="36"/>
      <c r="HR278" s="36"/>
      <c r="HS278" s="36"/>
      <c r="HT278" s="36"/>
      <c r="HU278" s="36"/>
      <c r="HV278" s="36"/>
      <c r="HW278" s="36"/>
      <c r="HX278" s="36"/>
      <c r="HY278" s="36"/>
      <c r="HZ278" s="36"/>
      <c r="IA278" s="36"/>
      <c r="IB278" s="36"/>
      <c r="IC278" s="36"/>
      <c r="ID278" s="36"/>
      <c r="IE278" s="36"/>
      <c r="IF278" s="36"/>
      <c r="IG278" s="36"/>
      <c r="IH278" s="36"/>
      <c r="II278" s="36"/>
      <c r="IJ278" s="36"/>
      <c r="IK278" s="36"/>
      <c r="IL278" s="36"/>
      <c r="IM278" s="36"/>
      <c r="IN278" s="36"/>
      <c r="IO278" s="36"/>
      <c r="IP278" s="36"/>
      <c r="IQ278" s="36"/>
      <c r="IR278" s="36"/>
      <c r="IS278" s="36"/>
      <c r="IT278" s="36"/>
      <c r="IU278" s="36"/>
      <c r="IV278" s="36"/>
    </row>
    <row r="279" spans="1:256" s="35" customFormat="1" ht="15">
      <c r="A279" s="36"/>
      <c r="B279" s="141"/>
      <c r="C279" s="36"/>
      <c r="D279" s="36"/>
      <c r="E279" s="36"/>
      <c r="F279" s="36"/>
      <c r="G279" s="36"/>
      <c r="H279" s="36"/>
      <c r="I279" s="36"/>
      <c r="J279" s="36"/>
      <c r="FW279" s="36"/>
      <c r="FX279" s="36"/>
      <c r="FY279" s="36"/>
      <c r="FZ279" s="36"/>
      <c r="GA279" s="36"/>
      <c r="GB279" s="36"/>
      <c r="GC279" s="36"/>
      <c r="GD279" s="36"/>
      <c r="GE279" s="36"/>
      <c r="GF279" s="36"/>
      <c r="GG279" s="36"/>
      <c r="GH279" s="36"/>
      <c r="GI279" s="36"/>
      <c r="GJ279" s="36"/>
      <c r="GK279" s="36"/>
      <c r="GL279" s="36"/>
      <c r="GM279" s="36"/>
      <c r="GN279" s="36"/>
      <c r="GO279" s="36"/>
      <c r="GP279" s="36"/>
      <c r="GQ279" s="36"/>
      <c r="GR279" s="36"/>
      <c r="GS279" s="36"/>
      <c r="GT279" s="36"/>
      <c r="GU279" s="36"/>
      <c r="GV279" s="36"/>
      <c r="GW279" s="36"/>
      <c r="GX279" s="36"/>
      <c r="GY279" s="36"/>
      <c r="GZ279" s="36"/>
      <c r="HA279" s="36"/>
      <c r="HB279" s="36"/>
      <c r="HC279" s="36"/>
      <c r="HD279" s="36"/>
      <c r="HE279" s="36"/>
      <c r="HF279" s="36"/>
      <c r="HG279" s="36"/>
      <c r="HH279" s="36"/>
      <c r="HI279" s="36"/>
      <c r="HJ279" s="36"/>
      <c r="HK279" s="36"/>
      <c r="HL279" s="36"/>
      <c r="HM279" s="36"/>
      <c r="HN279" s="36"/>
      <c r="HO279" s="36"/>
      <c r="HP279" s="36"/>
      <c r="HQ279" s="36"/>
      <c r="HR279" s="36"/>
      <c r="HS279" s="36"/>
      <c r="HT279" s="36"/>
      <c r="HU279" s="36"/>
      <c r="HV279" s="36"/>
      <c r="HW279" s="36"/>
      <c r="HX279" s="36"/>
      <c r="HY279" s="36"/>
      <c r="HZ279" s="36"/>
      <c r="IA279" s="36"/>
      <c r="IB279" s="36"/>
      <c r="IC279" s="36"/>
      <c r="ID279" s="36"/>
      <c r="IE279" s="36"/>
      <c r="IF279" s="36"/>
      <c r="IG279" s="36"/>
      <c r="IH279" s="36"/>
      <c r="II279" s="36"/>
      <c r="IJ279" s="36"/>
      <c r="IK279" s="36"/>
      <c r="IL279" s="36"/>
      <c r="IM279" s="36"/>
      <c r="IN279" s="36"/>
      <c r="IO279" s="36"/>
      <c r="IP279" s="36"/>
      <c r="IQ279" s="36"/>
      <c r="IR279" s="36"/>
      <c r="IS279" s="36"/>
      <c r="IT279" s="36"/>
      <c r="IU279" s="36"/>
      <c r="IV279" s="36"/>
    </row>
    <row r="280" spans="1:256" s="35" customFormat="1" ht="15">
      <c r="A280" s="36"/>
      <c r="B280" s="141"/>
      <c r="C280" s="36"/>
      <c r="D280" s="36"/>
      <c r="E280" s="36"/>
      <c r="F280" s="36"/>
      <c r="G280" s="36"/>
      <c r="H280" s="36"/>
      <c r="I280" s="36"/>
      <c r="J280" s="36"/>
      <c r="FW280" s="36"/>
      <c r="FX280" s="36"/>
      <c r="FY280" s="36"/>
      <c r="FZ280" s="36"/>
      <c r="GA280" s="36"/>
      <c r="GB280" s="36"/>
      <c r="GC280" s="36"/>
      <c r="GD280" s="36"/>
      <c r="GE280" s="36"/>
      <c r="GF280" s="36"/>
      <c r="GG280" s="36"/>
      <c r="GH280" s="36"/>
      <c r="GI280" s="36"/>
      <c r="GJ280" s="36"/>
      <c r="GK280" s="36"/>
      <c r="GL280" s="36"/>
      <c r="GM280" s="36"/>
      <c r="GN280" s="36"/>
      <c r="GO280" s="36"/>
      <c r="GP280" s="36"/>
      <c r="GQ280" s="36"/>
      <c r="GR280" s="36"/>
      <c r="GS280" s="36"/>
      <c r="GT280" s="36"/>
      <c r="GU280" s="36"/>
      <c r="GV280" s="36"/>
      <c r="GW280" s="36"/>
      <c r="GX280" s="36"/>
      <c r="GY280" s="36"/>
      <c r="GZ280" s="36"/>
      <c r="HA280" s="36"/>
      <c r="HB280" s="36"/>
      <c r="HC280" s="36"/>
      <c r="HD280" s="36"/>
      <c r="HE280" s="36"/>
      <c r="HF280" s="36"/>
      <c r="HG280" s="36"/>
      <c r="HH280" s="36"/>
      <c r="HI280" s="36"/>
      <c r="HJ280" s="36"/>
      <c r="HK280" s="36"/>
      <c r="HL280" s="36"/>
      <c r="HM280" s="36"/>
      <c r="HN280" s="36"/>
      <c r="HO280" s="36"/>
      <c r="HP280" s="36"/>
      <c r="HQ280" s="36"/>
      <c r="HR280" s="36"/>
      <c r="HS280" s="36"/>
      <c r="HT280" s="36"/>
      <c r="HU280" s="36"/>
      <c r="HV280" s="36"/>
      <c r="HW280" s="36"/>
      <c r="HX280" s="36"/>
      <c r="HY280" s="36"/>
      <c r="HZ280" s="36"/>
      <c r="IA280" s="36"/>
      <c r="IB280" s="36"/>
      <c r="IC280" s="36"/>
      <c r="ID280" s="36"/>
      <c r="IE280" s="36"/>
      <c r="IF280" s="36"/>
      <c r="IG280" s="36"/>
      <c r="IH280" s="36"/>
      <c r="II280" s="36"/>
      <c r="IJ280" s="36"/>
      <c r="IK280" s="36"/>
      <c r="IL280" s="36"/>
      <c r="IM280" s="36"/>
      <c r="IN280" s="36"/>
      <c r="IO280" s="36"/>
      <c r="IP280" s="36"/>
      <c r="IQ280" s="36"/>
      <c r="IR280" s="36"/>
      <c r="IS280" s="36"/>
      <c r="IT280" s="36"/>
      <c r="IU280" s="36"/>
      <c r="IV280" s="36"/>
    </row>
    <row r="281" spans="1:256" s="35" customFormat="1" ht="15">
      <c r="A281" s="36"/>
      <c r="B281" s="141"/>
      <c r="C281" s="36"/>
      <c r="D281" s="36"/>
      <c r="E281" s="36"/>
      <c r="F281" s="36"/>
      <c r="G281" s="36"/>
      <c r="H281" s="36"/>
      <c r="I281" s="36"/>
      <c r="J281" s="36"/>
      <c r="FW281" s="36"/>
      <c r="FX281" s="36"/>
      <c r="FY281" s="36"/>
      <c r="FZ281" s="36"/>
      <c r="GA281" s="36"/>
      <c r="GB281" s="36"/>
      <c r="GC281" s="36"/>
      <c r="GD281" s="36"/>
      <c r="GE281" s="36"/>
      <c r="GF281" s="36"/>
      <c r="GG281" s="36"/>
      <c r="GH281" s="36"/>
      <c r="GI281" s="36"/>
      <c r="GJ281" s="36"/>
      <c r="GK281" s="36"/>
      <c r="GL281" s="36"/>
      <c r="GM281" s="36"/>
      <c r="GN281" s="36"/>
      <c r="GO281" s="36"/>
      <c r="GP281" s="36"/>
      <c r="GQ281" s="36"/>
      <c r="GR281" s="36"/>
      <c r="GS281" s="36"/>
      <c r="GT281" s="36"/>
      <c r="GU281" s="36"/>
      <c r="GV281" s="36"/>
      <c r="GW281" s="36"/>
      <c r="GX281" s="36"/>
      <c r="GY281" s="36"/>
      <c r="GZ281" s="36"/>
      <c r="HA281" s="36"/>
      <c r="HB281" s="36"/>
      <c r="HC281" s="36"/>
      <c r="HD281" s="36"/>
      <c r="HE281" s="36"/>
      <c r="HF281" s="36"/>
      <c r="HG281" s="36"/>
      <c r="HH281" s="36"/>
      <c r="HI281" s="36"/>
      <c r="HJ281" s="36"/>
      <c r="HK281" s="36"/>
      <c r="HL281" s="36"/>
      <c r="HM281" s="36"/>
      <c r="HN281" s="36"/>
      <c r="HO281" s="36"/>
      <c r="HP281" s="36"/>
      <c r="HQ281" s="36"/>
      <c r="HR281" s="36"/>
      <c r="HS281" s="36"/>
      <c r="HT281" s="36"/>
      <c r="HU281" s="36"/>
      <c r="HV281" s="36"/>
      <c r="HW281" s="36"/>
      <c r="HX281" s="36"/>
      <c r="HY281" s="36"/>
      <c r="HZ281" s="36"/>
      <c r="IA281" s="36"/>
      <c r="IB281" s="36"/>
      <c r="IC281" s="36"/>
      <c r="ID281" s="36"/>
      <c r="IE281" s="36"/>
      <c r="IF281" s="36"/>
      <c r="IG281" s="36"/>
      <c r="IH281" s="36"/>
      <c r="II281" s="36"/>
      <c r="IJ281" s="36"/>
      <c r="IK281" s="36"/>
      <c r="IL281" s="36"/>
      <c r="IM281" s="36"/>
      <c r="IN281" s="36"/>
      <c r="IO281" s="36"/>
      <c r="IP281" s="36"/>
      <c r="IQ281" s="36"/>
      <c r="IR281" s="36"/>
      <c r="IS281" s="36"/>
      <c r="IT281" s="36"/>
      <c r="IU281" s="36"/>
      <c r="IV281" s="36"/>
    </row>
    <row r="282" spans="1:256" s="35" customFormat="1" ht="15">
      <c r="A282" s="36"/>
      <c r="B282" s="141"/>
      <c r="C282" s="36"/>
      <c r="D282" s="36"/>
      <c r="E282" s="36"/>
      <c r="F282" s="36"/>
      <c r="G282" s="36"/>
      <c r="H282" s="36"/>
      <c r="I282" s="36"/>
      <c r="J282" s="36"/>
      <c r="FW282" s="36"/>
      <c r="FX282" s="36"/>
      <c r="FY282" s="36"/>
      <c r="FZ282" s="36"/>
      <c r="GA282" s="36"/>
      <c r="GB282" s="36"/>
      <c r="GC282" s="36"/>
      <c r="GD282" s="36"/>
      <c r="GE282" s="36"/>
      <c r="GF282" s="36"/>
      <c r="GG282" s="36"/>
      <c r="GH282" s="36"/>
      <c r="GI282" s="36"/>
      <c r="GJ282" s="36"/>
      <c r="GK282" s="36"/>
      <c r="GL282" s="36"/>
      <c r="GM282" s="36"/>
      <c r="GN282" s="36"/>
      <c r="GO282" s="36"/>
      <c r="GP282" s="36"/>
      <c r="GQ282" s="36"/>
      <c r="GR282" s="36"/>
      <c r="GS282" s="36"/>
      <c r="GT282" s="36"/>
      <c r="GU282" s="36"/>
      <c r="GV282" s="36"/>
      <c r="GW282" s="36"/>
      <c r="GX282" s="36"/>
      <c r="GY282" s="36"/>
      <c r="GZ282" s="36"/>
      <c r="HA282" s="36"/>
      <c r="HB282" s="36"/>
      <c r="HC282" s="36"/>
      <c r="HD282" s="36"/>
      <c r="HE282" s="36"/>
      <c r="HF282" s="36"/>
      <c r="HG282" s="36"/>
      <c r="HH282" s="36"/>
      <c r="HI282" s="36"/>
      <c r="HJ282" s="36"/>
      <c r="HK282" s="36"/>
      <c r="HL282" s="36"/>
      <c r="HM282" s="36"/>
      <c r="HN282" s="36"/>
      <c r="HO282" s="36"/>
      <c r="HP282" s="36"/>
      <c r="HQ282" s="36"/>
      <c r="HR282" s="36"/>
      <c r="HS282" s="36"/>
      <c r="HT282" s="36"/>
      <c r="HU282" s="36"/>
      <c r="HV282" s="36"/>
      <c r="HW282" s="36"/>
      <c r="HX282" s="36"/>
      <c r="HY282" s="36"/>
      <c r="HZ282" s="36"/>
      <c r="IA282" s="36"/>
      <c r="IB282" s="36"/>
      <c r="IC282" s="36"/>
      <c r="ID282" s="36"/>
      <c r="IE282" s="36"/>
      <c r="IF282" s="36"/>
      <c r="IG282" s="36"/>
      <c r="IH282" s="36"/>
      <c r="II282" s="36"/>
      <c r="IJ282" s="36"/>
      <c r="IK282" s="36"/>
      <c r="IL282" s="36"/>
      <c r="IM282" s="36"/>
      <c r="IN282" s="36"/>
      <c r="IO282" s="36"/>
      <c r="IP282" s="36"/>
      <c r="IQ282" s="36"/>
      <c r="IR282" s="36"/>
      <c r="IS282" s="36"/>
      <c r="IT282" s="36"/>
      <c r="IU282" s="36"/>
      <c r="IV282" s="36"/>
    </row>
    <row r="283" spans="1:256" s="35" customFormat="1" ht="15">
      <c r="A283" s="36"/>
      <c r="B283" s="141"/>
      <c r="C283" s="36"/>
      <c r="D283" s="36"/>
      <c r="E283" s="36"/>
      <c r="F283" s="36"/>
      <c r="G283" s="36"/>
      <c r="H283" s="36"/>
      <c r="I283" s="36"/>
      <c r="J283" s="36"/>
      <c r="FW283" s="36"/>
      <c r="FX283" s="36"/>
      <c r="FY283" s="36"/>
      <c r="FZ283" s="36"/>
      <c r="GA283" s="36"/>
      <c r="GB283" s="36"/>
      <c r="GC283" s="36"/>
      <c r="GD283" s="36"/>
      <c r="GE283" s="36"/>
      <c r="GF283" s="36"/>
      <c r="GG283" s="36"/>
      <c r="GH283" s="36"/>
      <c r="GI283" s="36"/>
      <c r="GJ283" s="36"/>
      <c r="GK283" s="36"/>
      <c r="GL283" s="36"/>
      <c r="GM283" s="36"/>
      <c r="GN283" s="36"/>
      <c r="GO283" s="36"/>
      <c r="GP283" s="36"/>
      <c r="GQ283" s="36"/>
      <c r="GR283" s="36"/>
      <c r="GS283" s="36"/>
      <c r="GT283" s="36"/>
      <c r="GU283" s="36"/>
      <c r="GV283" s="36"/>
      <c r="GW283" s="36"/>
      <c r="GX283" s="36"/>
      <c r="GY283" s="36"/>
      <c r="GZ283" s="36"/>
      <c r="HA283" s="36"/>
      <c r="HB283" s="36"/>
      <c r="HC283" s="36"/>
      <c r="HD283" s="36"/>
      <c r="HE283" s="36"/>
      <c r="HF283" s="36"/>
      <c r="HG283" s="36"/>
      <c r="HH283" s="36"/>
      <c r="HI283" s="36"/>
      <c r="HJ283" s="36"/>
      <c r="HK283" s="36"/>
      <c r="HL283" s="36"/>
      <c r="HM283" s="36"/>
      <c r="HN283" s="36"/>
      <c r="HO283" s="36"/>
      <c r="HP283" s="36"/>
      <c r="HQ283" s="36"/>
      <c r="HR283" s="36"/>
      <c r="HS283" s="36"/>
      <c r="HT283" s="36"/>
      <c r="HU283" s="36"/>
      <c r="HV283" s="36"/>
      <c r="HW283" s="36"/>
      <c r="HX283" s="36"/>
      <c r="HY283" s="36"/>
      <c r="HZ283" s="36"/>
      <c r="IA283" s="36"/>
      <c r="IB283" s="36"/>
      <c r="IC283" s="36"/>
      <c r="ID283" s="36"/>
      <c r="IE283" s="36"/>
      <c r="IF283" s="36"/>
      <c r="IG283" s="36"/>
      <c r="IH283" s="36"/>
      <c r="II283" s="36"/>
      <c r="IJ283" s="36"/>
      <c r="IK283" s="36"/>
      <c r="IL283" s="36"/>
      <c r="IM283" s="36"/>
      <c r="IN283" s="36"/>
      <c r="IO283" s="36"/>
      <c r="IP283" s="36"/>
      <c r="IQ283" s="36"/>
      <c r="IR283" s="36"/>
      <c r="IS283" s="36"/>
      <c r="IT283" s="36"/>
      <c r="IU283" s="36"/>
      <c r="IV283" s="36"/>
    </row>
    <row r="284" spans="1:256" s="35" customFormat="1" ht="15">
      <c r="A284" s="36"/>
      <c r="B284" s="141"/>
      <c r="C284" s="36"/>
      <c r="D284" s="36"/>
      <c r="E284" s="36"/>
      <c r="F284" s="36"/>
      <c r="G284" s="36"/>
      <c r="H284" s="36"/>
      <c r="I284" s="36"/>
      <c r="J284" s="36"/>
      <c r="FW284" s="36"/>
      <c r="FX284" s="36"/>
      <c r="FY284" s="36"/>
      <c r="FZ284" s="36"/>
      <c r="GA284" s="36"/>
      <c r="GB284" s="36"/>
      <c r="GC284" s="36"/>
      <c r="GD284" s="36"/>
      <c r="GE284" s="36"/>
      <c r="GF284" s="36"/>
      <c r="GG284" s="36"/>
      <c r="GH284" s="36"/>
      <c r="GI284" s="36"/>
      <c r="GJ284" s="36"/>
      <c r="GK284" s="36"/>
      <c r="GL284" s="36"/>
      <c r="GM284" s="36"/>
      <c r="GN284" s="36"/>
      <c r="GO284" s="36"/>
      <c r="GP284" s="36"/>
      <c r="GQ284" s="36"/>
      <c r="GR284" s="36"/>
      <c r="GS284" s="36"/>
      <c r="GT284" s="36"/>
      <c r="GU284" s="36"/>
      <c r="GV284" s="36"/>
      <c r="GW284" s="36"/>
      <c r="GX284" s="36"/>
      <c r="GY284" s="36"/>
      <c r="GZ284" s="36"/>
      <c r="HA284" s="36"/>
      <c r="HB284" s="36"/>
      <c r="HC284" s="36"/>
      <c r="HD284" s="36"/>
      <c r="HE284" s="36"/>
      <c r="HF284" s="36"/>
      <c r="HG284" s="36"/>
      <c r="HH284" s="36"/>
      <c r="HI284" s="36"/>
      <c r="HJ284" s="36"/>
      <c r="HK284" s="36"/>
      <c r="HL284" s="36"/>
      <c r="HM284" s="36"/>
      <c r="HN284" s="36"/>
      <c r="HO284" s="36"/>
      <c r="HP284" s="36"/>
      <c r="HQ284" s="36"/>
      <c r="HR284" s="36"/>
      <c r="HS284" s="36"/>
      <c r="HT284" s="36"/>
      <c r="HU284" s="36"/>
      <c r="HV284" s="36"/>
      <c r="HW284" s="36"/>
      <c r="HX284" s="36"/>
      <c r="HY284" s="36"/>
      <c r="HZ284" s="36"/>
      <c r="IA284" s="36"/>
      <c r="IB284" s="36"/>
      <c r="IC284" s="36"/>
      <c r="ID284" s="36"/>
      <c r="IE284" s="36"/>
      <c r="IF284" s="36"/>
      <c r="IG284" s="36"/>
      <c r="IH284" s="36"/>
      <c r="II284" s="36"/>
      <c r="IJ284" s="36"/>
      <c r="IK284" s="36"/>
      <c r="IL284" s="36"/>
      <c r="IM284" s="36"/>
      <c r="IN284" s="36"/>
      <c r="IO284" s="36"/>
      <c r="IP284" s="36"/>
      <c r="IQ284" s="36"/>
      <c r="IR284" s="36"/>
      <c r="IS284" s="36"/>
      <c r="IT284" s="36"/>
      <c r="IU284" s="36"/>
      <c r="IV284" s="36"/>
    </row>
    <row r="285" spans="1:256" s="35" customFormat="1" ht="15">
      <c r="A285" s="36"/>
      <c r="B285" s="141"/>
      <c r="C285" s="36"/>
      <c r="D285" s="36"/>
      <c r="E285" s="36"/>
      <c r="F285" s="36"/>
      <c r="G285" s="36"/>
      <c r="H285" s="36"/>
      <c r="I285" s="36"/>
      <c r="J285" s="36"/>
      <c r="FW285" s="36"/>
      <c r="FX285" s="36"/>
      <c r="FY285" s="36"/>
      <c r="FZ285" s="36"/>
      <c r="GA285" s="36"/>
      <c r="GB285" s="36"/>
      <c r="GC285" s="36"/>
      <c r="GD285" s="36"/>
      <c r="GE285" s="36"/>
      <c r="GF285" s="36"/>
      <c r="GG285" s="36"/>
      <c r="GH285" s="36"/>
      <c r="GI285" s="36"/>
      <c r="GJ285" s="36"/>
      <c r="GK285" s="36"/>
      <c r="GL285" s="36"/>
      <c r="GM285" s="36"/>
      <c r="GN285" s="36"/>
      <c r="GO285" s="36"/>
      <c r="GP285" s="36"/>
      <c r="GQ285" s="36"/>
      <c r="GR285" s="36"/>
      <c r="GS285" s="36"/>
      <c r="GT285" s="36"/>
      <c r="GU285" s="36"/>
      <c r="GV285" s="36"/>
      <c r="GW285" s="36"/>
      <c r="GX285" s="36"/>
      <c r="GY285" s="36"/>
      <c r="GZ285" s="36"/>
      <c r="HA285" s="36"/>
      <c r="HB285" s="36"/>
      <c r="HC285" s="36"/>
      <c r="HD285" s="36"/>
      <c r="HE285" s="36"/>
      <c r="HF285" s="36"/>
      <c r="HG285" s="36"/>
      <c r="HH285" s="36"/>
      <c r="HI285" s="36"/>
      <c r="HJ285" s="36"/>
      <c r="HK285" s="36"/>
      <c r="HL285" s="36"/>
      <c r="HM285" s="36"/>
      <c r="HN285" s="36"/>
      <c r="HO285" s="36"/>
      <c r="HP285" s="36"/>
      <c r="HQ285" s="36"/>
      <c r="HR285" s="36"/>
      <c r="HS285" s="36"/>
      <c r="HT285" s="36"/>
      <c r="HU285" s="36"/>
      <c r="HV285" s="36"/>
      <c r="HW285" s="36"/>
      <c r="HX285" s="36"/>
      <c r="HY285" s="36"/>
      <c r="HZ285" s="36"/>
      <c r="IA285" s="36"/>
      <c r="IB285" s="36"/>
      <c r="IC285" s="36"/>
      <c r="ID285" s="36"/>
      <c r="IE285" s="36"/>
      <c r="IF285" s="36"/>
      <c r="IG285" s="36"/>
      <c r="IH285" s="36"/>
      <c r="II285" s="36"/>
      <c r="IJ285" s="36"/>
      <c r="IK285" s="36"/>
      <c r="IL285" s="36"/>
      <c r="IM285" s="36"/>
      <c r="IN285" s="36"/>
      <c r="IO285" s="36"/>
      <c r="IP285" s="36"/>
      <c r="IQ285" s="36"/>
      <c r="IR285" s="36"/>
      <c r="IS285" s="36"/>
      <c r="IT285" s="36"/>
      <c r="IU285" s="36"/>
      <c r="IV285" s="36"/>
    </row>
    <row r="286" spans="1:256" s="35" customFormat="1" ht="15">
      <c r="A286" s="36"/>
      <c r="B286" s="141"/>
      <c r="C286" s="36"/>
      <c r="D286" s="36"/>
      <c r="E286" s="36"/>
      <c r="F286" s="36"/>
      <c r="G286" s="36"/>
      <c r="H286" s="36"/>
      <c r="I286" s="36"/>
      <c r="J286" s="36"/>
      <c r="FW286" s="36"/>
      <c r="FX286" s="36"/>
      <c r="FY286" s="36"/>
      <c r="FZ286" s="36"/>
      <c r="GA286" s="36"/>
      <c r="GB286" s="36"/>
      <c r="GC286" s="36"/>
      <c r="GD286" s="36"/>
      <c r="GE286" s="36"/>
      <c r="GF286" s="36"/>
      <c r="GG286" s="36"/>
      <c r="GH286" s="36"/>
      <c r="GI286" s="36"/>
      <c r="GJ286" s="36"/>
      <c r="GK286" s="36"/>
      <c r="GL286" s="36"/>
      <c r="GM286" s="36"/>
      <c r="GN286" s="36"/>
      <c r="GO286" s="36"/>
      <c r="GP286" s="36"/>
      <c r="GQ286" s="36"/>
      <c r="GR286" s="36"/>
      <c r="GS286" s="36"/>
      <c r="GT286" s="36"/>
      <c r="GU286" s="36"/>
      <c r="GV286" s="36"/>
      <c r="GW286" s="36"/>
      <c r="GX286" s="36"/>
      <c r="GY286" s="36"/>
      <c r="GZ286" s="36"/>
      <c r="HA286" s="36"/>
      <c r="HB286" s="36"/>
      <c r="HC286" s="36"/>
      <c r="HD286" s="36"/>
      <c r="HE286" s="36"/>
      <c r="HF286" s="36"/>
      <c r="HG286" s="36"/>
      <c r="HH286" s="36"/>
      <c r="HI286" s="36"/>
      <c r="HJ286" s="36"/>
      <c r="HK286" s="36"/>
      <c r="HL286" s="36"/>
      <c r="HM286" s="36"/>
      <c r="HN286" s="36"/>
      <c r="HO286" s="36"/>
      <c r="HP286" s="36"/>
      <c r="HQ286" s="36"/>
      <c r="HR286" s="36"/>
      <c r="HS286" s="36"/>
      <c r="HT286" s="36"/>
      <c r="HU286" s="36"/>
      <c r="HV286" s="36"/>
      <c r="HW286" s="36"/>
      <c r="HX286" s="36"/>
      <c r="HY286" s="36"/>
      <c r="HZ286" s="36"/>
      <c r="IA286" s="36"/>
      <c r="IB286" s="36"/>
      <c r="IC286" s="36"/>
      <c r="ID286" s="36"/>
      <c r="IE286" s="36"/>
      <c r="IF286" s="36"/>
      <c r="IG286" s="36"/>
      <c r="IH286" s="36"/>
      <c r="II286" s="36"/>
      <c r="IJ286" s="36"/>
      <c r="IK286" s="36"/>
      <c r="IL286" s="36"/>
      <c r="IM286" s="36"/>
      <c r="IN286" s="36"/>
      <c r="IO286" s="36"/>
      <c r="IP286" s="36"/>
      <c r="IQ286" s="36"/>
      <c r="IR286" s="36"/>
      <c r="IS286" s="36"/>
      <c r="IT286" s="36"/>
      <c r="IU286" s="36"/>
      <c r="IV286" s="36"/>
    </row>
    <row r="287" spans="1:256" s="35" customFormat="1" ht="15">
      <c r="A287" s="36"/>
      <c r="B287" s="141"/>
      <c r="C287" s="36"/>
      <c r="D287" s="36"/>
      <c r="E287" s="36"/>
      <c r="F287" s="36"/>
      <c r="G287" s="36"/>
      <c r="H287" s="36"/>
      <c r="I287" s="36"/>
      <c r="J287" s="36"/>
      <c r="FW287" s="36"/>
      <c r="FX287" s="36"/>
      <c r="FY287" s="36"/>
      <c r="FZ287" s="36"/>
      <c r="GA287" s="36"/>
      <c r="GB287" s="36"/>
      <c r="GC287" s="36"/>
      <c r="GD287" s="36"/>
      <c r="GE287" s="36"/>
      <c r="GF287" s="36"/>
      <c r="GG287" s="36"/>
      <c r="GH287" s="36"/>
      <c r="GI287" s="36"/>
      <c r="GJ287" s="36"/>
      <c r="GK287" s="36"/>
      <c r="GL287" s="36"/>
      <c r="GM287" s="36"/>
      <c r="GN287" s="36"/>
      <c r="GO287" s="36"/>
      <c r="GP287" s="36"/>
      <c r="GQ287" s="36"/>
      <c r="GR287" s="36"/>
      <c r="GS287" s="36"/>
      <c r="GT287" s="36"/>
      <c r="GU287" s="36"/>
      <c r="GV287" s="36"/>
      <c r="GW287" s="36"/>
      <c r="GX287" s="36"/>
      <c r="GY287" s="36"/>
      <c r="GZ287" s="36"/>
      <c r="HA287" s="36"/>
      <c r="HB287" s="36"/>
      <c r="HC287" s="36"/>
      <c r="HD287" s="36"/>
      <c r="HE287" s="36"/>
      <c r="HF287" s="36"/>
      <c r="HG287" s="36"/>
      <c r="HH287" s="36"/>
      <c r="HI287" s="36"/>
      <c r="HJ287" s="36"/>
      <c r="HK287" s="36"/>
      <c r="HL287" s="36"/>
      <c r="HM287" s="36"/>
      <c r="HN287" s="36"/>
      <c r="HO287" s="36"/>
      <c r="HP287" s="36"/>
      <c r="HQ287" s="36"/>
      <c r="HR287" s="36"/>
      <c r="HS287" s="36"/>
      <c r="HT287" s="36"/>
      <c r="HU287" s="36"/>
      <c r="HV287" s="36"/>
      <c r="HW287" s="36"/>
      <c r="HX287" s="36"/>
      <c r="HY287" s="36"/>
      <c r="HZ287" s="36"/>
      <c r="IA287" s="36"/>
      <c r="IB287" s="36"/>
      <c r="IC287" s="36"/>
      <c r="ID287" s="36"/>
      <c r="IE287" s="36"/>
      <c r="IF287" s="36"/>
      <c r="IG287" s="36"/>
      <c r="IH287" s="36"/>
      <c r="II287" s="36"/>
      <c r="IJ287" s="36"/>
      <c r="IK287" s="36"/>
      <c r="IL287" s="36"/>
      <c r="IM287" s="36"/>
      <c r="IN287" s="36"/>
      <c r="IO287" s="36"/>
      <c r="IP287" s="36"/>
      <c r="IQ287" s="36"/>
      <c r="IR287" s="36"/>
      <c r="IS287" s="36"/>
      <c r="IT287" s="36"/>
      <c r="IU287" s="36"/>
      <c r="IV287" s="36"/>
    </row>
    <row r="288" spans="1:256" s="35" customFormat="1" ht="15">
      <c r="A288" s="36"/>
      <c r="B288" s="141"/>
      <c r="C288" s="36"/>
      <c r="D288" s="36"/>
      <c r="E288" s="36"/>
      <c r="F288" s="36"/>
      <c r="G288" s="36"/>
      <c r="H288" s="36"/>
      <c r="I288" s="36"/>
      <c r="J288" s="36"/>
      <c r="FW288" s="36"/>
      <c r="FX288" s="36"/>
      <c r="FY288" s="36"/>
      <c r="FZ288" s="36"/>
      <c r="GA288" s="36"/>
      <c r="GB288" s="36"/>
      <c r="GC288" s="36"/>
      <c r="GD288" s="36"/>
      <c r="GE288" s="36"/>
      <c r="GF288" s="36"/>
      <c r="GG288" s="36"/>
      <c r="GH288" s="36"/>
      <c r="GI288" s="36"/>
      <c r="GJ288" s="36"/>
      <c r="GK288" s="36"/>
      <c r="GL288" s="36"/>
      <c r="GM288" s="36"/>
      <c r="GN288" s="36"/>
      <c r="GO288" s="36"/>
      <c r="GP288" s="36"/>
      <c r="GQ288" s="36"/>
      <c r="GR288" s="36"/>
      <c r="GS288" s="36"/>
      <c r="GT288" s="36"/>
      <c r="GU288" s="36"/>
      <c r="GV288" s="36"/>
      <c r="GW288" s="36"/>
      <c r="GX288" s="36"/>
      <c r="GY288" s="36"/>
      <c r="GZ288" s="36"/>
      <c r="HA288" s="36"/>
      <c r="HB288" s="36"/>
      <c r="HC288" s="36"/>
      <c r="HD288" s="36"/>
      <c r="HE288" s="36"/>
      <c r="HF288" s="36"/>
      <c r="HG288" s="36"/>
      <c r="HH288" s="36"/>
      <c r="HI288" s="36"/>
      <c r="HJ288" s="36"/>
      <c r="HK288" s="36"/>
      <c r="HL288" s="36"/>
      <c r="HM288" s="36"/>
      <c r="HN288" s="36"/>
      <c r="HO288" s="36"/>
      <c r="HP288" s="36"/>
      <c r="HQ288" s="36"/>
      <c r="HR288" s="36"/>
      <c r="HS288" s="36"/>
      <c r="HT288" s="36"/>
      <c r="HU288" s="36"/>
      <c r="HV288" s="36"/>
      <c r="HW288" s="36"/>
      <c r="HX288" s="36"/>
      <c r="HY288" s="36"/>
      <c r="HZ288" s="36"/>
      <c r="IA288" s="36"/>
      <c r="IB288" s="36"/>
      <c r="IC288" s="36"/>
      <c r="ID288" s="36"/>
      <c r="IE288" s="36"/>
      <c r="IF288" s="36"/>
      <c r="IG288" s="36"/>
      <c r="IH288" s="36"/>
      <c r="II288" s="36"/>
      <c r="IJ288" s="36"/>
      <c r="IK288" s="36"/>
      <c r="IL288" s="36"/>
      <c r="IM288" s="36"/>
      <c r="IN288" s="36"/>
      <c r="IO288" s="36"/>
      <c r="IP288" s="36"/>
      <c r="IQ288" s="36"/>
      <c r="IR288" s="36"/>
      <c r="IS288" s="36"/>
      <c r="IT288" s="36"/>
      <c r="IU288" s="36"/>
      <c r="IV288" s="36"/>
    </row>
    <row r="289" spans="1:256" s="35" customFormat="1" ht="15">
      <c r="A289" s="36"/>
      <c r="B289" s="141"/>
      <c r="C289" s="36"/>
      <c r="D289" s="36"/>
      <c r="E289" s="36"/>
      <c r="F289" s="36"/>
      <c r="G289" s="36"/>
      <c r="H289" s="36"/>
      <c r="I289" s="36"/>
      <c r="J289" s="36"/>
      <c r="FW289" s="36"/>
      <c r="FX289" s="36"/>
      <c r="FY289" s="36"/>
      <c r="FZ289" s="36"/>
      <c r="GA289" s="36"/>
      <c r="GB289" s="36"/>
      <c r="GC289" s="36"/>
      <c r="GD289" s="36"/>
      <c r="GE289" s="36"/>
      <c r="GF289" s="36"/>
      <c r="GG289" s="36"/>
      <c r="GH289" s="36"/>
      <c r="GI289" s="36"/>
      <c r="GJ289" s="36"/>
      <c r="GK289" s="36"/>
      <c r="GL289" s="36"/>
      <c r="GM289" s="36"/>
      <c r="GN289" s="36"/>
      <c r="GO289" s="36"/>
      <c r="GP289" s="36"/>
      <c r="GQ289" s="36"/>
      <c r="GR289" s="36"/>
      <c r="GS289" s="36"/>
      <c r="GT289" s="36"/>
      <c r="GU289" s="36"/>
      <c r="GV289" s="36"/>
      <c r="GW289" s="36"/>
      <c r="GX289" s="36"/>
      <c r="GY289" s="36"/>
      <c r="GZ289" s="36"/>
      <c r="HA289" s="36"/>
      <c r="HB289" s="36"/>
      <c r="HC289" s="36"/>
      <c r="HD289" s="36"/>
      <c r="HE289" s="36"/>
      <c r="HF289" s="36"/>
      <c r="HG289" s="36"/>
      <c r="HH289" s="36"/>
      <c r="HI289" s="36"/>
      <c r="HJ289" s="36"/>
      <c r="HK289" s="36"/>
      <c r="HL289" s="36"/>
      <c r="HM289" s="36"/>
      <c r="HN289" s="36"/>
      <c r="HO289" s="36"/>
      <c r="HP289" s="36"/>
      <c r="HQ289" s="36"/>
      <c r="HR289" s="36"/>
      <c r="HS289" s="36"/>
      <c r="HT289" s="36"/>
      <c r="HU289" s="36"/>
      <c r="HV289" s="36"/>
      <c r="HW289" s="36"/>
      <c r="HX289" s="36"/>
      <c r="HY289" s="36"/>
      <c r="HZ289" s="36"/>
      <c r="IA289" s="36"/>
      <c r="IB289" s="36"/>
      <c r="IC289" s="36"/>
      <c r="ID289" s="36"/>
      <c r="IE289" s="36"/>
      <c r="IF289" s="36"/>
      <c r="IG289" s="36"/>
      <c r="IH289" s="36"/>
      <c r="II289" s="36"/>
      <c r="IJ289" s="36"/>
      <c r="IK289" s="36"/>
      <c r="IL289" s="36"/>
      <c r="IM289" s="36"/>
      <c r="IN289" s="36"/>
      <c r="IO289" s="36"/>
      <c r="IP289" s="36"/>
      <c r="IQ289" s="36"/>
      <c r="IR289" s="36"/>
      <c r="IS289" s="36"/>
      <c r="IT289" s="36"/>
      <c r="IU289" s="36"/>
      <c r="IV289" s="36"/>
    </row>
    <row r="290" spans="1:256" s="35" customFormat="1" ht="15">
      <c r="A290" s="36"/>
      <c r="B290" s="141"/>
      <c r="C290" s="36"/>
      <c r="D290" s="36"/>
      <c r="E290" s="36"/>
      <c r="F290" s="36"/>
      <c r="G290" s="36"/>
      <c r="H290" s="36"/>
      <c r="I290" s="36"/>
      <c r="J290" s="36"/>
      <c r="FW290" s="36"/>
      <c r="FX290" s="36"/>
      <c r="FY290" s="36"/>
      <c r="FZ290" s="36"/>
      <c r="GA290" s="36"/>
      <c r="GB290" s="36"/>
      <c r="GC290" s="36"/>
      <c r="GD290" s="36"/>
      <c r="GE290" s="36"/>
      <c r="GF290" s="36"/>
      <c r="GG290" s="36"/>
      <c r="GH290" s="36"/>
      <c r="GI290" s="36"/>
      <c r="GJ290" s="36"/>
      <c r="GK290" s="36"/>
      <c r="GL290" s="36"/>
      <c r="GM290" s="36"/>
      <c r="GN290" s="36"/>
      <c r="GO290" s="36"/>
      <c r="GP290" s="36"/>
      <c r="GQ290" s="36"/>
      <c r="GR290" s="36"/>
      <c r="GS290" s="36"/>
      <c r="GT290" s="36"/>
      <c r="GU290" s="36"/>
      <c r="GV290" s="36"/>
      <c r="GW290" s="36"/>
      <c r="GX290" s="36"/>
      <c r="GY290" s="36"/>
      <c r="GZ290" s="36"/>
      <c r="HA290" s="36"/>
      <c r="HB290" s="36"/>
      <c r="HC290" s="36"/>
      <c r="HD290" s="36"/>
      <c r="HE290" s="36"/>
      <c r="HF290" s="36"/>
      <c r="HG290" s="36"/>
      <c r="HH290" s="36"/>
      <c r="HI290" s="36"/>
      <c r="HJ290" s="36"/>
      <c r="HK290" s="36"/>
      <c r="HL290" s="36"/>
      <c r="HM290" s="36"/>
      <c r="HN290" s="36"/>
      <c r="HO290" s="36"/>
      <c r="HP290" s="36"/>
      <c r="HQ290" s="36"/>
      <c r="HR290" s="36"/>
      <c r="HS290" s="36"/>
      <c r="HT290" s="36"/>
      <c r="HU290" s="36"/>
      <c r="HV290" s="36"/>
      <c r="HW290" s="36"/>
      <c r="HX290" s="36"/>
      <c r="HY290" s="36"/>
      <c r="HZ290" s="36"/>
      <c r="IA290" s="36"/>
      <c r="IB290" s="36"/>
      <c r="IC290" s="36"/>
      <c r="ID290" s="36"/>
      <c r="IE290" s="36"/>
      <c r="IF290" s="36"/>
      <c r="IG290" s="36"/>
      <c r="IH290" s="36"/>
      <c r="II290" s="36"/>
      <c r="IJ290" s="36"/>
      <c r="IK290" s="36"/>
      <c r="IL290" s="36"/>
      <c r="IM290" s="36"/>
      <c r="IN290" s="36"/>
      <c r="IO290" s="36"/>
      <c r="IP290" s="36"/>
      <c r="IQ290" s="36"/>
      <c r="IR290" s="36"/>
      <c r="IS290" s="36"/>
      <c r="IT290" s="36"/>
      <c r="IU290" s="36"/>
      <c r="IV290" s="36"/>
    </row>
    <row r="291" spans="1:256" s="35" customFormat="1" ht="15">
      <c r="A291" s="36"/>
      <c r="B291" s="141"/>
      <c r="C291" s="36"/>
      <c r="D291" s="36"/>
      <c r="E291" s="36"/>
      <c r="F291" s="36"/>
      <c r="G291" s="36"/>
      <c r="H291" s="36"/>
      <c r="I291" s="36"/>
      <c r="J291" s="36"/>
      <c r="FW291" s="36"/>
      <c r="FX291" s="36"/>
      <c r="FY291" s="36"/>
      <c r="FZ291" s="36"/>
      <c r="GA291" s="36"/>
      <c r="GB291" s="36"/>
      <c r="GC291" s="36"/>
      <c r="GD291" s="36"/>
      <c r="GE291" s="36"/>
      <c r="GF291" s="36"/>
      <c r="GG291" s="36"/>
      <c r="GH291" s="36"/>
      <c r="GI291" s="36"/>
      <c r="GJ291" s="36"/>
      <c r="GK291" s="36"/>
      <c r="GL291" s="36"/>
      <c r="GM291" s="36"/>
      <c r="GN291" s="36"/>
      <c r="GO291" s="36"/>
      <c r="GP291" s="36"/>
      <c r="GQ291" s="36"/>
      <c r="GR291" s="36"/>
      <c r="GS291" s="36"/>
      <c r="GT291" s="36"/>
      <c r="GU291" s="36"/>
      <c r="GV291" s="36"/>
      <c r="GW291" s="36"/>
      <c r="GX291" s="36"/>
      <c r="GY291" s="36"/>
      <c r="GZ291" s="36"/>
      <c r="HA291" s="36"/>
      <c r="HB291" s="36"/>
      <c r="HC291" s="36"/>
      <c r="HD291" s="36"/>
      <c r="HE291" s="36"/>
      <c r="HF291" s="36"/>
      <c r="HG291" s="36"/>
      <c r="HH291" s="36"/>
      <c r="HI291" s="36"/>
      <c r="HJ291" s="36"/>
      <c r="HK291" s="36"/>
      <c r="HL291" s="36"/>
      <c r="HM291" s="36"/>
      <c r="HN291" s="36"/>
      <c r="HO291" s="36"/>
      <c r="HP291" s="36"/>
      <c r="HQ291" s="36"/>
      <c r="HR291" s="36"/>
      <c r="HS291" s="36"/>
      <c r="HT291" s="36"/>
      <c r="HU291" s="36"/>
      <c r="HV291" s="36"/>
      <c r="HW291" s="36"/>
      <c r="HX291" s="36"/>
      <c r="HY291" s="36"/>
      <c r="HZ291" s="36"/>
      <c r="IA291" s="36"/>
      <c r="IB291" s="36"/>
      <c r="IC291" s="36"/>
      <c r="ID291" s="36"/>
      <c r="IE291" s="36"/>
      <c r="IF291" s="36"/>
      <c r="IG291" s="36"/>
      <c r="IH291" s="36"/>
      <c r="II291" s="36"/>
      <c r="IJ291" s="36"/>
      <c r="IK291" s="36"/>
      <c r="IL291" s="36"/>
      <c r="IM291" s="36"/>
      <c r="IN291" s="36"/>
      <c r="IO291" s="36"/>
      <c r="IP291" s="36"/>
      <c r="IQ291" s="36"/>
      <c r="IR291" s="36"/>
      <c r="IS291" s="36"/>
      <c r="IT291" s="36"/>
      <c r="IU291" s="36"/>
      <c r="IV291" s="36"/>
    </row>
    <row r="292" spans="1:256" s="35" customFormat="1" ht="15">
      <c r="A292" s="36"/>
      <c r="B292" s="141"/>
      <c r="C292" s="36"/>
      <c r="D292" s="36"/>
      <c r="E292" s="36"/>
      <c r="F292" s="36"/>
      <c r="G292" s="36"/>
      <c r="H292" s="36"/>
      <c r="I292" s="36"/>
      <c r="J292" s="36"/>
      <c r="FW292" s="36"/>
      <c r="FX292" s="36"/>
      <c r="FY292" s="36"/>
      <c r="FZ292" s="36"/>
      <c r="GA292" s="36"/>
      <c r="GB292" s="36"/>
      <c r="GC292" s="36"/>
      <c r="GD292" s="36"/>
      <c r="GE292" s="36"/>
      <c r="GF292" s="36"/>
      <c r="GG292" s="36"/>
      <c r="GH292" s="36"/>
      <c r="GI292" s="36"/>
      <c r="GJ292" s="36"/>
      <c r="GK292" s="36"/>
      <c r="GL292" s="36"/>
      <c r="GM292" s="36"/>
      <c r="GN292" s="36"/>
      <c r="GO292" s="36"/>
      <c r="GP292" s="36"/>
      <c r="GQ292" s="36"/>
      <c r="GR292" s="36"/>
      <c r="GS292" s="36"/>
      <c r="GT292" s="36"/>
      <c r="GU292" s="36"/>
      <c r="GV292" s="36"/>
      <c r="GW292" s="36"/>
      <c r="GX292" s="36"/>
      <c r="GY292" s="36"/>
      <c r="GZ292" s="36"/>
      <c r="HA292" s="36"/>
      <c r="HB292" s="36"/>
      <c r="HC292" s="36"/>
      <c r="HD292" s="36"/>
      <c r="HE292" s="36"/>
      <c r="HF292" s="36"/>
      <c r="HG292" s="36"/>
      <c r="HH292" s="36"/>
      <c r="HI292" s="36"/>
      <c r="HJ292" s="36"/>
      <c r="HK292" s="36"/>
      <c r="HL292" s="36"/>
      <c r="HM292" s="36"/>
      <c r="HN292" s="36"/>
      <c r="HO292" s="36"/>
      <c r="HP292" s="36"/>
      <c r="HQ292" s="36"/>
      <c r="HR292" s="36"/>
      <c r="HS292" s="36"/>
      <c r="HT292" s="36"/>
      <c r="HU292" s="36"/>
      <c r="HV292" s="36"/>
      <c r="HW292" s="36"/>
      <c r="HX292" s="36"/>
      <c r="HY292" s="36"/>
      <c r="HZ292" s="36"/>
      <c r="IA292" s="36"/>
      <c r="IB292" s="36"/>
      <c r="IC292" s="36"/>
      <c r="ID292" s="36"/>
      <c r="IE292" s="36"/>
      <c r="IF292" s="36"/>
      <c r="IG292" s="36"/>
      <c r="IH292" s="36"/>
      <c r="II292" s="36"/>
      <c r="IJ292" s="36"/>
      <c r="IK292" s="36"/>
      <c r="IL292" s="36"/>
      <c r="IM292" s="36"/>
      <c r="IN292" s="36"/>
      <c r="IO292" s="36"/>
      <c r="IP292" s="36"/>
      <c r="IQ292" s="36"/>
      <c r="IR292" s="36"/>
      <c r="IS292" s="36"/>
      <c r="IT292" s="36"/>
      <c r="IU292" s="36"/>
      <c r="IV292" s="36"/>
    </row>
    <row r="293" spans="1:256" s="35" customFormat="1" ht="15">
      <c r="A293" s="36"/>
      <c r="B293" s="141"/>
      <c r="C293" s="36"/>
      <c r="D293" s="36"/>
      <c r="E293" s="36"/>
      <c r="F293" s="36"/>
      <c r="G293" s="36"/>
      <c r="H293" s="36"/>
      <c r="I293" s="36"/>
      <c r="J293" s="36"/>
      <c r="FW293" s="36"/>
      <c r="FX293" s="36"/>
      <c r="FY293" s="36"/>
      <c r="FZ293" s="36"/>
      <c r="GA293" s="36"/>
      <c r="GB293" s="36"/>
      <c r="GC293" s="36"/>
      <c r="GD293" s="36"/>
      <c r="GE293" s="36"/>
      <c r="GF293" s="36"/>
      <c r="GG293" s="36"/>
      <c r="GH293" s="36"/>
      <c r="GI293" s="36"/>
      <c r="GJ293" s="36"/>
      <c r="GK293" s="36"/>
      <c r="GL293" s="36"/>
      <c r="GM293" s="36"/>
      <c r="GN293" s="36"/>
      <c r="GO293" s="36"/>
      <c r="GP293" s="36"/>
      <c r="GQ293" s="36"/>
      <c r="GR293" s="36"/>
      <c r="GS293" s="36"/>
      <c r="GT293" s="36"/>
      <c r="GU293" s="36"/>
      <c r="GV293" s="36"/>
      <c r="GW293" s="36"/>
      <c r="GX293" s="36"/>
      <c r="GY293" s="36"/>
      <c r="GZ293" s="36"/>
      <c r="HA293" s="36"/>
      <c r="HB293" s="36"/>
      <c r="HC293" s="36"/>
      <c r="HD293" s="36"/>
      <c r="HE293" s="36"/>
      <c r="HF293" s="36"/>
      <c r="HG293" s="36"/>
      <c r="HH293" s="36"/>
      <c r="HI293" s="36"/>
      <c r="HJ293" s="36"/>
      <c r="HK293" s="36"/>
      <c r="HL293" s="36"/>
      <c r="HM293" s="36"/>
      <c r="HN293" s="36"/>
      <c r="HO293" s="36"/>
      <c r="HP293" s="36"/>
      <c r="HQ293" s="36"/>
      <c r="HR293" s="36"/>
      <c r="HS293" s="36"/>
      <c r="HT293" s="36"/>
      <c r="HU293" s="36"/>
      <c r="HV293" s="36"/>
      <c r="HW293" s="36"/>
      <c r="HX293" s="36"/>
      <c r="HY293" s="36"/>
      <c r="HZ293" s="36"/>
      <c r="IA293" s="36"/>
      <c r="IB293" s="36"/>
      <c r="IC293" s="36"/>
      <c r="ID293" s="36"/>
      <c r="IE293" s="36"/>
      <c r="IF293" s="36"/>
      <c r="IG293" s="36"/>
      <c r="IH293" s="36"/>
      <c r="II293" s="36"/>
      <c r="IJ293" s="36"/>
      <c r="IK293" s="36"/>
      <c r="IL293" s="36"/>
      <c r="IM293" s="36"/>
      <c r="IN293" s="36"/>
      <c r="IO293" s="36"/>
      <c r="IP293" s="36"/>
      <c r="IQ293" s="36"/>
      <c r="IR293" s="36"/>
      <c r="IS293" s="36"/>
      <c r="IT293" s="36"/>
      <c r="IU293" s="36"/>
      <c r="IV293" s="36"/>
    </row>
    <row r="294" spans="1:256" s="35" customFormat="1" ht="15">
      <c r="A294" s="36"/>
      <c r="B294" s="141"/>
      <c r="C294" s="36"/>
      <c r="D294" s="36"/>
      <c r="E294" s="36"/>
      <c r="F294" s="36"/>
      <c r="G294" s="36"/>
      <c r="H294" s="36"/>
      <c r="I294" s="36"/>
      <c r="J294" s="36"/>
      <c r="FW294" s="36"/>
      <c r="FX294" s="36"/>
      <c r="FY294" s="36"/>
      <c r="FZ294" s="36"/>
      <c r="GA294" s="36"/>
      <c r="GB294" s="36"/>
      <c r="GC294" s="36"/>
      <c r="GD294" s="36"/>
      <c r="GE294" s="36"/>
      <c r="GF294" s="36"/>
      <c r="GG294" s="36"/>
      <c r="GH294" s="36"/>
      <c r="GI294" s="36"/>
      <c r="GJ294" s="36"/>
      <c r="GK294" s="36"/>
      <c r="GL294" s="36"/>
      <c r="GM294" s="36"/>
      <c r="GN294" s="36"/>
      <c r="GO294" s="36"/>
      <c r="GP294" s="36"/>
      <c r="GQ294" s="36"/>
      <c r="GR294" s="36"/>
      <c r="GS294" s="36"/>
      <c r="GT294" s="36"/>
      <c r="GU294" s="36"/>
      <c r="GV294" s="36"/>
      <c r="GW294" s="36"/>
      <c r="GX294" s="36"/>
      <c r="GY294" s="36"/>
      <c r="GZ294" s="36"/>
      <c r="HA294" s="36"/>
      <c r="HB294" s="36"/>
      <c r="HC294" s="36"/>
      <c r="HD294" s="36"/>
      <c r="HE294" s="36"/>
      <c r="HF294" s="36"/>
      <c r="HG294" s="36"/>
      <c r="HH294" s="36"/>
      <c r="HI294" s="36"/>
      <c r="HJ294" s="36"/>
      <c r="HK294" s="36"/>
      <c r="HL294" s="36"/>
      <c r="HM294" s="36"/>
      <c r="HN294" s="36"/>
      <c r="HO294" s="36"/>
      <c r="HP294" s="36"/>
      <c r="HQ294" s="36"/>
      <c r="HR294" s="36"/>
      <c r="HS294" s="36"/>
      <c r="HT294" s="36"/>
      <c r="HU294" s="36"/>
      <c r="HV294" s="36"/>
      <c r="HW294" s="36"/>
      <c r="HX294" s="36"/>
      <c r="HY294" s="36"/>
      <c r="HZ294" s="36"/>
      <c r="IA294" s="36"/>
      <c r="IB294" s="36"/>
      <c r="IC294" s="36"/>
      <c r="ID294" s="36"/>
      <c r="IE294" s="36"/>
      <c r="IF294" s="36"/>
      <c r="IG294" s="36"/>
      <c r="IH294" s="36"/>
      <c r="II294" s="36"/>
      <c r="IJ294" s="36"/>
      <c r="IK294" s="36"/>
      <c r="IL294" s="36"/>
      <c r="IM294" s="36"/>
      <c r="IN294" s="36"/>
      <c r="IO294" s="36"/>
      <c r="IP294" s="36"/>
      <c r="IQ294" s="36"/>
      <c r="IR294" s="36"/>
      <c r="IS294" s="36"/>
      <c r="IT294" s="36"/>
      <c r="IU294" s="36"/>
      <c r="IV294" s="36"/>
    </row>
    <row r="295" spans="1:256" s="35" customFormat="1" ht="15">
      <c r="A295" s="36"/>
      <c r="B295" s="141"/>
      <c r="C295" s="36"/>
      <c r="D295" s="36"/>
      <c r="E295" s="36"/>
      <c r="F295" s="36"/>
      <c r="G295" s="36"/>
      <c r="H295" s="36"/>
      <c r="I295" s="36"/>
      <c r="J295" s="36"/>
      <c r="FW295" s="36"/>
      <c r="FX295" s="36"/>
      <c r="FY295" s="36"/>
      <c r="FZ295" s="36"/>
      <c r="GA295" s="36"/>
      <c r="GB295" s="36"/>
      <c r="GC295" s="36"/>
      <c r="GD295" s="36"/>
      <c r="GE295" s="36"/>
      <c r="GF295" s="36"/>
      <c r="GG295" s="36"/>
      <c r="GH295" s="36"/>
      <c r="GI295" s="36"/>
      <c r="GJ295" s="36"/>
      <c r="GK295" s="36"/>
      <c r="GL295" s="36"/>
      <c r="GM295" s="36"/>
      <c r="GN295" s="36"/>
      <c r="GO295" s="36"/>
      <c r="GP295" s="36"/>
      <c r="GQ295" s="36"/>
      <c r="GR295" s="36"/>
      <c r="GS295" s="36"/>
      <c r="GT295" s="36"/>
      <c r="GU295" s="36"/>
      <c r="GV295" s="36"/>
      <c r="GW295" s="36"/>
      <c r="GX295" s="36"/>
      <c r="GY295" s="36"/>
      <c r="GZ295" s="36"/>
      <c r="HA295" s="36"/>
      <c r="HB295" s="36"/>
      <c r="HC295" s="36"/>
      <c r="HD295" s="36"/>
      <c r="HE295" s="36"/>
      <c r="HF295" s="36"/>
      <c r="HG295" s="36"/>
      <c r="HH295" s="36"/>
      <c r="HI295" s="36"/>
      <c r="HJ295" s="36"/>
      <c r="HK295" s="36"/>
      <c r="HL295" s="36"/>
      <c r="HM295" s="36"/>
      <c r="HN295" s="36"/>
      <c r="HO295" s="36"/>
      <c r="HP295" s="36"/>
      <c r="HQ295" s="36"/>
      <c r="HR295" s="36"/>
      <c r="HS295" s="36"/>
      <c r="HT295" s="36"/>
      <c r="HU295" s="36"/>
      <c r="HV295" s="36"/>
      <c r="HW295" s="36"/>
      <c r="HX295" s="36"/>
      <c r="HY295" s="36"/>
      <c r="HZ295" s="36"/>
      <c r="IA295" s="36"/>
      <c r="IB295" s="36"/>
      <c r="IC295" s="36"/>
      <c r="ID295" s="36"/>
      <c r="IE295" s="36"/>
      <c r="IF295" s="36"/>
      <c r="IG295" s="36"/>
      <c r="IH295" s="36"/>
      <c r="II295" s="36"/>
      <c r="IJ295" s="36"/>
      <c r="IK295" s="36"/>
      <c r="IL295" s="36"/>
      <c r="IM295" s="36"/>
      <c r="IN295" s="36"/>
      <c r="IO295" s="36"/>
      <c r="IP295" s="36"/>
      <c r="IQ295" s="36"/>
      <c r="IR295" s="36"/>
      <c r="IS295" s="36"/>
      <c r="IT295" s="36"/>
      <c r="IU295" s="36"/>
      <c r="IV295" s="36"/>
    </row>
    <row r="296" spans="1:256" s="35" customFormat="1" ht="15">
      <c r="A296" s="36"/>
      <c r="B296" s="141"/>
      <c r="C296" s="36"/>
      <c r="D296" s="36"/>
      <c r="E296" s="36"/>
      <c r="F296" s="36"/>
      <c r="G296" s="36"/>
      <c r="H296" s="36"/>
      <c r="I296" s="36"/>
      <c r="J296" s="36"/>
      <c r="FW296" s="36"/>
      <c r="FX296" s="36"/>
      <c r="FY296" s="36"/>
      <c r="FZ296" s="36"/>
      <c r="GA296" s="36"/>
      <c r="GB296" s="36"/>
      <c r="GC296" s="36"/>
      <c r="GD296" s="36"/>
      <c r="GE296" s="36"/>
      <c r="GF296" s="36"/>
      <c r="GG296" s="36"/>
      <c r="GH296" s="36"/>
      <c r="GI296" s="36"/>
      <c r="GJ296" s="36"/>
      <c r="GK296" s="36"/>
      <c r="GL296" s="36"/>
      <c r="GM296" s="36"/>
      <c r="GN296" s="36"/>
      <c r="GO296" s="36"/>
      <c r="GP296" s="36"/>
      <c r="GQ296" s="36"/>
      <c r="GR296" s="36"/>
      <c r="GS296" s="36"/>
      <c r="GT296" s="36"/>
      <c r="GU296" s="36"/>
      <c r="GV296" s="36"/>
      <c r="GW296" s="36"/>
      <c r="GX296" s="36"/>
      <c r="GY296" s="36"/>
      <c r="GZ296" s="36"/>
      <c r="HA296" s="36"/>
      <c r="HB296" s="36"/>
      <c r="HC296" s="36"/>
      <c r="HD296" s="36"/>
      <c r="HE296" s="36"/>
      <c r="HF296" s="36"/>
      <c r="HG296" s="36"/>
      <c r="HH296" s="36"/>
      <c r="HI296" s="36"/>
      <c r="HJ296" s="36"/>
      <c r="HK296" s="36"/>
      <c r="HL296" s="36"/>
      <c r="HM296" s="36"/>
      <c r="HN296" s="36"/>
      <c r="HO296" s="36"/>
      <c r="HP296" s="36"/>
      <c r="HQ296" s="36"/>
      <c r="HR296" s="36"/>
      <c r="HS296" s="36"/>
      <c r="HT296" s="36"/>
      <c r="HU296" s="36"/>
      <c r="HV296" s="36"/>
      <c r="HW296" s="36"/>
      <c r="HX296" s="36"/>
      <c r="HY296" s="36"/>
      <c r="HZ296" s="36"/>
      <c r="IA296" s="36"/>
      <c r="IB296" s="36"/>
      <c r="IC296" s="36"/>
      <c r="ID296" s="36"/>
      <c r="IE296" s="36"/>
      <c r="IF296" s="36"/>
      <c r="IG296" s="36"/>
      <c r="IH296" s="36"/>
      <c r="II296" s="36"/>
      <c r="IJ296" s="36"/>
      <c r="IK296" s="36"/>
      <c r="IL296" s="36"/>
      <c r="IM296" s="36"/>
      <c r="IN296" s="36"/>
      <c r="IO296" s="36"/>
      <c r="IP296" s="36"/>
      <c r="IQ296" s="36"/>
      <c r="IR296" s="36"/>
      <c r="IS296" s="36"/>
      <c r="IT296" s="36"/>
      <c r="IU296" s="36"/>
      <c r="IV296" s="36"/>
    </row>
    <row r="297" spans="1:256" s="35" customFormat="1" ht="15">
      <c r="A297" s="36"/>
      <c r="B297" s="141"/>
      <c r="C297" s="36"/>
      <c r="D297" s="36"/>
      <c r="E297" s="36"/>
      <c r="F297" s="36"/>
      <c r="G297" s="36"/>
      <c r="H297" s="36"/>
      <c r="I297" s="36"/>
      <c r="J297" s="36"/>
      <c r="FW297" s="36"/>
      <c r="FX297" s="36"/>
      <c r="FY297" s="36"/>
      <c r="FZ297" s="36"/>
      <c r="GA297" s="36"/>
      <c r="GB297" s="36"/>
      <c r="GC297" s="36"/>
      <c r="GD297" s="36"/>
      <c r="GE297" s="36"/>
      <c r="GF297" s="36"/>
      <c r="GG297" s="36"/>
      <c r="GH297" s="36"/>
      <c r="GI297" s="36"/>
      <c r="GJ297" s="36"/>
      <c r="GK297" s="36"/>
      <c r="GL297" s="36"/>
      <c r="GM297" s="36"/>
      <c r="GN297" s="36"/>
      <c r="GO297" s="36"/>
      <c r="GP297" s="36"/>
      <c r="GQ297" s="36"/>
      <c r="GR297" s="36"/>
      <c r="GS297" s="36"/>
      <c r="GT297" s="36"/>
      <c r="GU297" s="36"/>
      <c r="GV297" s="36"/>
      <c r="GW297" s="36"/>
      <c r="GX297" s="36"/>
      <c r="GY297" s="36"/>
      <c r="GZ297" s="36"/>
      <c r="HA297" s="36"/>
      <c r="HB297" s="36"/>
      <c r="HC297" s="36"/>
      <c r="HD297" s="36"/>
      <c r="HE297" s="36"/>
      <c r="HF297" s="36"/>
      <c r="HG297" s="36"/>
      <c r="HH297" s="36"/>
      <c r="HI297" s="36"/>
      <c r="HJ297" s="36"/>
      <c r="HK297" s="36"/>
      <c r="HL297" s="36"/>
      <c r="HM297" s="36"/>
      <c r="HN297" s="36"/>
      <c r="HO297" s="36"/>
      <c r="HP297" s="36"/>
      <c r="HQ297" s="36"/>
      <c r="HR297" s="36"/>
      <c r="HS297" s="36"/>
      <c r="HT297" s="36"/>
      <c r="HU297" s="36"/>
      <c r="HV297" s="36"/>
      <c r="HW297" s="36"/>
      <c r="HX297" s="36"/>
      <c r="HY297" s="36"/>
      <c r="HZ297" s="36"/>
      <c r="IA297" s="36"/>
      <c r="IB297" s="36"/>
      <c r="IC297" s="36"/>
      <c r="ID297" s="36"/>
      <c r="IE297" s="36"/>
      <c r="IF297" s="36"/>
      <c r="IG297" s="36"/>
      <c r="IH297" s="36"/>
      <c r="II297" s="36"/>
      <c r="IJ297" s="36"/>
      <c r="IK297" s="36"/>
      <c r="IL297" s="36"/>
      <c r="IM297" s="36"/>
      <c r="IN297" s="36"/>
      <c r="IO297" s="36"/>
      <c r="IP297" s="36"/>
      <c r="IQ297" s="36"/>
      <c r="IR297" s="36"/>
      <c r="IS297" s="36"/>
      <c r="IT297" s="36"/>
      <c r="IU297" s="36"/>
      <c r="IV297" s="36"/>
    </row>
    <row r="298" spans="1:256" s="35" customFormat="1" ht="15">
      <c r="A298" s="36"/>
      <c r="B298" s="141"/>
      <c r="C298" s="36"/>
      <c r="D298" s="36"/>
      <c r="E298" s="36"/>
      <c r="F298" s="36"/>
      <c r="G298" s="36"/>
      <c r="H298" s="36"/>
      <c r="I298" s="36"/>
      <c r="J298" s="36"/>
      <c r="FW298" s="36"/>
      <c r="FX298" s="36"/>
      <c r="FY298" s="36"/>
      <c r="FZ298" s="36"/>
      <c r="GA298" s="36"/>
      <c r="GB298" s="36"/>
      <c r="GC298" s="36"/>
      <c r="GD298" s="36"/>
      <c r="GE298" s="36"/>
      <c r="GF298" s="36"/>
      <c r="GG298" s="36"/>
      <c r="GH298" s="36"/>
      <c r="GI298" s="36"/>
      <c r="GJ298" s="36"/>
      <c r="GK298" s="36"/>
      <c r="GL298" s="36"/>
      <c r="GM298" s="36"/>
      <c r="GN298" s="36"/>
      <c r="GO298" s="36"/>
      <c r="GP298" s="36"/>
      <c r="GQ298" s="36"/>
      <c r="GR298" s="36"/>
      <c r="GS298" s="36"/>
      <c r="GT298" s="36"/>
      <c r="GU298" s="36"/>
      <c r="GV298" s="36"/>
      <c r="GW298" s="36"/>
      <c r="GX298" s="36"/>
      <c r="GY298" s="36"/>
      <c r="GZ298" s="36"/>
      <c r="HA298" s="36"/>
      <c r="HB298" s="36"/>
      <c r="HC298" s="36"/>
      <c r="HD298" s="36"/>
      <c r="HE298" s="36"/>
      <c r="HF298" s="36"/>
      <c r="HG298" s="36"/>
      <c r="HH298" s="36"/>
      <c r="HI298" s="36"/>
      <c r="HJ298" s="36"/>
      <c r="HK298" s="36"/>
      <c r="HL298" s="36"/>
      <c r="HM298" s="36"/>
      <c r="HN298" s="36"/>
      <c r="HO298" s="36"/>
      <c r="HP298" s="36"/>
      <c r="HQ298" s="36"/>
      <c r="HR298" s="36"/>
      <c r="HS298" s="36"/>
      <c r="HT298" s="36"/>
      <c r="HU298" s="36"/>
      <c r="HV298" s="36"/>
      <c r="HW298" s="36"/>
      <c r="HX298" s="36"/>
      <c r="HY298" s="36"/>
      <c r="HZ298" s="36"/>
      <c r="IA298" s="36"/>
      <c r="IB298" s="36"/>
      <c r="IC298" s="36"/>
      <c r="ID298" s="36"/>
      <c r="IE298" s="36"/>
      <c r="IF298" s="36"/>
      <c r="IG298" s="36"/>
      <c r="IH298" s="36"/>
      <c r="II298" s="36"/>
      <c r="IJ298" s="36"/>
      <c r="IK298" s="36"/>
      <c r="IL298" s="36"/>
      <c r="IM298" s="36"/>
      <c r="IN298" s="36"/>
      <c r="IO298" s="36"/>
      <c r="IP298" s="36"/>
      <c r="IQ298" s="36"/>
      <c r="IR298" s="36"/>
      <c r="IS298" s="36"/>
      <c r="IT298" s="36"/>
      <c r="IU298" s="36"/>
      <c r="IV298" s="36"/>
    </row>
    <row r="299" spans="1:256" s="35" customFormat="1" ht="15">
      <c r="A299" s="36"/>
      <c r="B299" s="141"/>
      <c r="C299" s="36"/>
      <c r="D299" s="36"/>
      <c r="E299" s="36"/>
      <c r="F299" s="36"/>
      <c r="G299" s="36"/>
      <c r="H299" s="36"/>
      <c r="I299" s="36"/>
      <c r="J299" s="36"/>
      <c r="FW299" s="36"/>
      <c r="FX299" s="36"/>
      <c r="FY299" s="36"/>
      <c r="FZ299" s="36"/>
      <c r="GA299" s="36"/>
      <c r="GB299" s="36"/>
      <c r="GC299" s="36"/>
      <c r="GD299" s="36"/>
      <c r="GE299" s="36"/>
      <c r="GF299" s="36"/>
      <c r="GG299" s="36"/>
      <c r="GH299" s="36"/>
      <c r="GI299" s="36"/>
      <c r="GJ299" s="36"/>
      <c r="GK299" s="36"/>
      <c r="GL299" s="36"/>
      <c r="GM299" s="36"/>
      <c r="GN299" s="36"/>
      <c r="GO299" s="36"/>
      <c r="GP299" s="36"/>
      <c r="GQ299" s="36"/>
      <c r="GR299" s="36"/>
      <c r="GS299" s="36"/>
      <c r="GT299" s="36"/>
      <c r="GU299" s="36"/>
      <c r="GV299" s="36"/>
      <c r="GW299" s="36"/>
      <c r="GX299" s="36"/>
      <c r="GY299" s="36"/>
      <c r="GZ299" s="36"/>
      <c r="HA299" s="36"/>
      <c r="HB299" s="36"/>
      <c r="HC299" s="36"/>
      <c r="HD299" s="36"/>
      <c r="HE299" s="36"/>
      <c r="HF299" s="36"/>
      <c r="HG299" s="36"/>
      <c r="HH299" s="36"/>
      <c r="HI299" s="36"/>
      <c r="HJ299" s="36"/>
      <c r="HK299" s="36"/>
      <c r="HL299" s="36"/>
      <c r="HM299" s="36"/>
      <c r="HN299" s="36"/>
      <c r="HO299" s="36"/>
      <c r="HP299" s="36"/>
      <c r="HQ299" s="36"/>
      <c r="HR299" s="36"/>
      <c r="HS299" s="36"/>
      <c r="HT299" s="36"/>
      <c r="HU299" s="36"/>
      <c r="HV299" s="36"/>
      <c r="HW299" s="36"/>
      <c r="HX299" s="36"/>
      <c r="HY299" s="36"/>
      <c r="HZ299" s="36"/>
      <c r="IA299" s="36"/>
      <c r="IB299" s="36"/>
      <c r="IC299" s="36"/>
      <c r="ID299" s="36"/>
      <c r="IE299" s="36"/>
      <c r="IF299" s="36"/>
      <c r="IG299" s="36"/>
      <c r="IH299" s="36"/>
      <c r="II299" s="36"/>
      <c r="IJ299" s="36"/>
      <c r="IK299" s="36"/>
      <c r="IL299" s="36"/>
      <c r="IM299" s="36"/>
      <c r="IN299" s="36"/>
      <c r="IO299" s="36"/>
      <c r="IP299" s="36"/>
      <c r="IQ299" s="36"/>
      <c r="IR299" s="36"/>
      <c r="IS299" s="36"/>
      <c r="IT299" s="36"/>
      <c r="IU299" s="36"/>
      <c r="IV299" s="36"/>
    </row>
    <row r="300" spans="1:256" s="35" customFormat="1" ht="15">
      <c r="A300" s="36"/>
      <c r="B300" s="141"/>
      <c r="C300" s="36"/>
      <c r="D300" s="36"/>
      <c r="E300" s="36"/>
      <c r="F300" s="36"/>
      <c r="G300" s="36"/>
      <c r="H300" s="36"/>
      <c r="I300" s="36"/>
      <c r="J300" s="36"/>
      <c r="FW300" s="36"/>
      <c r="FX300" s="36"/>
      <c r="FY300" s="36"/>
      <c r="FZ300" s="36"/>
      <c r="GA300" s="36"/>
      <c r="GB300" s="36"/>
      <c r="GC300" s="36"/>
      <c r="GD300" s="36"/>
      <c r="GE300" s="36"/>
      <c r="GF300" s="36"/>
      <c r="GG300" s="36"/>
      <c r="GH300" s="36"/>
      <c r="GI300" s="36"/>
      <c r="GJ300" s="36"/>
      <c r="GK300" s="36"/>
      <c r="GL300" s="36"/>
      <c r="GM300" s="36"/>
      <c r="GN300" s="36"/>
      <c r="GO300" s="36"/>
      <c r="GP300" s="36"/>
      <c r="GQ300" s="36"/>
      <c r="GR300" s="36"/>
      <c r="GS300" s="36"/>
      <c r="GT300" s="36"/>
      <c r="GU300" s="36"/>
      <c r="GV300" s="36"/>
      <c r="GW300" s="36"/>
      <c r="GX300" s="36"/>
      <c r="GY300" s="36"/>
      <c r="GZ300" s="36"/>
      <c r="HA300" s="36"/>
      <c r="HB300" s="36"/>
      <c r="HC300" s="36"/>
      <c r="HD300" s="36"/>
      <c r="HE300" s="36"/>
      <c r="HF300" s="36"/>
      <c r="HG300" s="36"/>
      <c r="HH300" s="36"/>
      <c r="HI300" s="36"/>
      <c r="HJ300" s="36"/>
      <c r="HK300" s="36"/>
      <c r="HL300" s="36"/>
      <c r="HM300" s="36"/>
      <c r="HN300" s="36"/>
      <c r="HO300" s="36"/>
      <c r="HP300" s="36"/>
      <c r="HQ300" s="36"/>
      <c r="HR300" s="36"/>
      <c r="HS300" s="36"/>
      <c r="HT300" s="36"/>
      <c r="HU300" s="36"/>
      <c r="HV300" s="36"/>
      <c r="HW300" s="36"/>
      <c r="HX300" s="36"/>
      <c r="HY300" s="36"/>
      <c r="HZ300" s="36"/>
      <c r="IA300" s="36"/>
      <c r="IB300" s="36"/>
      <c r="IC300" s="36"/>
      <c r="ID300" s="36"/>
      <c r="IE300" s="36"/>
      <c r="IF300" s="36"/>
      <c r="IG300" s="36"/>
      <c r="IH300" s="36"/>
      <c r="II300" s="36"/>
      <c r="IJ300" s="36"/>
      <c r="IK300" s="36"/>
      <c r="IL300" s="36"/>
      <c r="IM300" s="36"/>
      <c r="IN300" s="36"/>
      <c r="IO300" s="36"/>
      <c r="IP300" s="36"/>
      <c r="IQ300" s="36"/>
      <c r="IR300" s="36"/>
      <c r="IS300" s="36"/>
      <c r="IT300" s="36"/>
      <c r="IU300" s="36"/>
      <c r="IV300" s="36"/>
    </row>
    <row r="301" spans="1:256" s="35" customFormat="1" ht="15">
      <c r="A301" s="36"/>
      <c r="B301" s="141"/>
      <c r="C301" s="36"/>
      <c r="D301" s="36"/>
      <c r="E301" s="36"/>
      <c r="F301" s="36"/>
      <c r="G301" s="36"/>
      <c r="H301" s="36"/>
      <c r="I301" s="36"/>
      <c r="J301" s="36"/>
      <c r="FW301" s="36"/>
      <c r="FX301" s="36"/>
      <c r="FY301" s="36"/>
      <c r="FZ301" s="36"/>
      <c r="GA301" s="36"/>
      <c r="GB301" s="36"/>
      <c r="GC301" s="36"/>
      <c r="GD301" s="36"/>
      <c r="GE301" s="36"/>
      <c r="GF301" s="36"/>
      <c r="GG301" s="36"/>
      <c r="GH301" s="36"/>
      <c r="GI301" s="36"/>
      <c r="GJ301" s="36"/>
      <c r="GK301" s="36"/>
      <c r="GL301" s="36"/>
      <c r="GM301" s="36"/>
      <c r="GN301" s="36"/>
      <c r="GO301" s="36"/>
      <c r="GP301" s="36"/>
      <c r="GQ301" s="36"/>
      <c r="GR301" s="36"/>
      <c r="GS301" s="36"/>
      <c r="GT301" s="36"/>
      <c r="GU301" s="36"/>
      <c r="GV301" s="36"/>
      <c r="GW301" s="36"/>
      <c r="GX301" s="36"/>
      <c r="GY301" s="36"/>
      <c r="GZ301" s="36"/>
      <c r="HA301" s="36"/>
      <c r="HB301" s="36"/>
      <c r="HC301" s="36"/>
      <c r="HD301" s="36"/>
      <c r="HE301" s="36"/>
      <c r="HF301" s="36"/>
      <c r="HG301" s="36"/>
      <c r="HH301" s="36"/>
      <c r="HI301" s="36"/>
      <c r="HJ301" s="36"/>
      <c r="HK301" s="36"/>
      <c r="HL301" s="36"/>
      <c r="HM301" s="36"/>
      <c r="HN301" s="36"/>
      <c r="HO301" s="36"/>
      <c r="HP301" s="36"/>
      <c r="HQ301" s="36"/>
      <c r="HR301" s="36"/>
      <c r="HS301" s="36"/>
      <c r="HT301" s="36"/>
      <c r="HU301" s="36"/>
      <c r="HV301" s="36"/>
      <c r="HW301" s="36"/>
      <c r="HX301" s="36"/>
      <c r="HY301" s="36"/>
      <c r="HZ301" s="36"/>
      <c r="IA301" s="36"/>
      <c r="IB301" s="36"/>
      <c r="IC301" s="36"/>
      <c r="ID301" s="36"/>
      <c r="IE301" s="36"/>
      <c r="IF301" s="36"/>
      <c r="IG301" s="36"/>
      <c r="IH301" s="36"/>
      <c r="II301" s="36"/>
      <c r="IJ301" s="36"/>
      <c r="IK301" s="36"/>
      <c r="IL301" s="36"/>
      <c r="IM301" s="36"/>
      <c r="IN301" s="36"/>
      <c r="IO301" s="36"/>
      <c r="IP301" s="36"/>
      <c r="IQ301" s="36"/>
      <c r="IR301" s="36"/>
      <c r="IS301" s="36"/>
      <c r="IT301" s="36"/>
      <c r="IU301" s="36"/>
      <c r="IV301" s="36"/>
    </row>
    <row r="302" spans="1:256" s="35" customFormat="1" ht="15">
      <c r="A302" s="36"/>
      <c r="B302" s="141"/>
      <c r="C302" s="36"/>
      <c r="D302" s="36"/>
      <c r="E302" s="36"/>
      <c r="F302" s="36"/>
      <c r="G302" s="36"/>
      <c r="H302" s="36"/>
      <c r="I302" s="36"/>
      <c r="J302" s="36"/>
      <c r="FW302" s="36"/>
      <c r="FX302" s="36"/>
      <c r="FY302" s="36"/>
      <c r="FZ302" s="36"/>
      <c r="GA302" s="36"/>
      <c r="GB302" s="36"/>
      <c r="GC302" s="36"/>
      <c r="GD302" s="36"/>
      <c r="GE302" s="36"/>
      <c r="GF302" s="36"/>
      <c r="GG302" s="36"/>
      <c r="GH302" s="36"/>
      <c r="GI302" s="36"/>
      <c r="GJ302" s="36"/>
      <c r="GK302" s="36"/>
      <c r="GL302" s="36"/>
      <c r="GM302" s="36"/>
      <c r="GN302" s="36"/>
      <c r="GO302" s="36"/>
      <c r="GP302" s="36"/>
      <c r="GQ302" s="36"/>
      <c r="GR302" s="36"/>
      <c r="GS302" s="36"/>
      <c r="GT302" s="36"/>
      <c r="GU302" s="36"/>
      <c r="GV302" s="36"/>
      <c r="GW302" s="36"/>
      <c r="GX302" s="36"/>
      <c r="GY302" s="36"/>
      <c r="GZ302" s="36"/>
      <c r="HA302" s="36"/>
      <c r="HB302" s="36"/>
      <c r="HC302" s="36"/>
      <c r="HD302" s="36"/>
      <c r="HE302" s="36"/>
      <c r="HF302" s="36"/>
      <c r="HG302" s="36"/>
      <c r="HH302" s="36"/>
      <c r="HI302" s="36"/>
      <c r="HJ302" s="36"/>
      <c r="HK302" s="36"/>
      <c r="HL302" s="36"/>
      <c r="HM302" s="36"/>
      <c r="HN302" s="36"/>
      <c r="HO302" s="36"/>
      <c r="HP302" s="36"/>
      <c r="HQ302" s="36"/>
      <c r="HR302" s="36"/>
      <c r="HS302" s="36"/>
      <c r="HT302" s="36"/>
      <c r="HU302" s="36"/>
      <c r="HV302" s="36"/>
      <c r="HW302" s="36"/>
      <c r="HX302" s="36"/>
      <c r="HY302" s="36"/>
      <c r="HZ302" s="36"/>
      <c r="IA302" s="36"/>
      <c r="IB302" s="36"/>
      <c r="IC302" s="36"/>
      <c r="ID302" s="36"/>
      <c r="IE302" s="36"/>
      <c r="IF302" s="36"/>
      <c r="IG302" s="36"/>
      <c r="IH302" s="36"/>
      <c r="II302" s="36"/>
      <c r="IJ302" s="36"/>
      <c r="IK302" s="36"/>
      <c r="IL302" s="36"/>
      <c r="IM302" s="36"/>
      <c r="IN302" s="36"/>
      <c r="IO302" s="36"/>
      <c r="IP302" s="36"/>
      <c r="IQ302" s="36"/>
      <c r="IR302" s="36"/>
      <c r="IS302" s="36"/>
      <c r="IT302" s="36"/>
      <c r="IU302" s="36"/>
      <c r="IV302" s="36"/>
    </row>
    <row r="303" spans="1:256" s="35" customFormat="1" ht="15">
      <c r="A303" s="36"/>
      <c r="B303" s="141"/>
      <c r="C303" s="36"/>
      <c r="D303" s="36"/>
      <c r="E303" s="36"/>
      <c r="F303" s="36"/>
      <c r="G303" s="36"/>
      <c r="H303" s="36"/>
      <c r="I303" s="36"/>
      <c r="J303" s="36"/>
      <c r="FW303" s="36"/>
      <c r="FX303" s="36"/>
      <c r="FY303" s="36"/>
      <c r="FZ303" s="36"/>
      <c r="GA303" s="36"/>
      <c r="GB303" s="36"/>
      <c r="GC303" s="36"/>
      <c r="GD303" s="36"/>
      <c r="GE303" s="36"/>
      <c r="GF303" s="36"/>
      <c r="GG303" s="36"/>
      <c r="GH303" s="36"/>
      <c r="GI303" s="36"/>
      <c r="GJ303" s="36"/>
      <c r="GK303" s="36"/>
      <c r="GL303" s="36"/>
      <c r="GM303" s="36"/>
      <c r="GN303" s="36"/>
      <c r="GO303" s="36"/>
      <c r="GP303" s="36"/>
      <c r="GQ303" s="36"/>
      <c r="GR303" s="36"/>
      <c r="GS303" s="36"/>
      <c r="GT303" s="36"/>
      <c r="GU303" s="36"/>
      <c r="GV303" s="36"/>
      <c r="GW303" s="36"/>
      <c r="GX303" s="36"/>
      <c r="GY303" s="36"/>
      <c r="GZ303" s="36"/>
      <c r="HA303" s="36"/>
      <c r="HB303" s="36"/>
      <c r="HC303" s="36"/>
      <c r="HD303" s="36"/>
      <c r="HE303" s="36"/>
      <c r="HF303" s="36"/>
      <c r="HG303" s="36"/>
      <c r="HH303" s="36"/>
      <c r="HI303" s="36"/>
      <c r="HJ303" s="36"/>
      <c r="HK303" s="36"/>
      <c r="HL303" s="36"/>
      <c r="HM303" s="36"/>
      <c r="HN303" s="36"/>
      <c r="HO303" s="36"/>
      <c r="HP303" s="36"/>
      <c r="HQ303" s="36"/>
      <c r="HR303" s="36"/>
      <c r="HS303" s="36"/>
      <c r="HT303" s="36"/>
      <c r="HU303" s="36"/>
      <c r="HV303" s="36"/>
      <c r="HW303" s="36"/>
      <c r="HX303" s="36"/>
      <c r="HY303" s="36"/>
      <c r="HZ303" s="36"/>
      <c r="IA303" s="36"/>
      <c r="IB303" s="36"/>
      <c r="IC303" s="36"/>
      <c r="ID303" s="36"/>
      <c r="IE303" s="36"/>
      <c r="IF303" s="36"/>
      <c r="IG303" s="36"/>
      <c r="IH303" s="36"/>
      <c r="II303" s="36"/>
      <c r="IJ303" s="36"/>
      <c r="IK303" s="36"/>
      <c r="IL303" s="36"/>
      <c r="IM303" s="36"/>
      <c r="IN303" s="36"/>
      <c r="IO303" s="36"/>
      <c r="IP303" s="36"/>
      <c r="IQ303" s="36"/>
      <c r="IR303" s="36"/>
      <c r="IS303" s="36"/>
      <c r="IT303" s="36"/>
      <c r="IU303" s="36"/>
      <c r="IV303" s="36"/>
    </row>
    <row r="304" spans="1:256" s="35" customFormat="1" ht="15">
      <c r="A304" s="36"/>
      <c r="B304" s="141"/>
      <c r="C304" s="36"/>
      <c r="D304" s="36"/>
      <c r="E304" s="36"/>
      <c r="F304" s="36"/>
      <c r="G304" s="36"/>
      <c r="H304" s="36"/>
      <c r="I304" s="36"/>
      <c r="J304" s="36"/>
      <c r="FW304" s="36"/>
      <c r="FX304" s="36"/>
      <c r="FY304" s="36"/>
      <c r="FZ304" s="36"/>
      <c r="GA304" s="36"/>
      <c r="GB304" s="36"/>
      <c r="GC304" s="36"/>
      <c r="GD304" s="36"/>
      <c r="GE304" s="36"/>
      <c r="GF304" s="36"/>
      <c r="GG304" s="36"/>
      <c r="GH304" s="36"/>
      <c r="GI304" s="36"/>
      <c r="GJ304" s="36"/>
      <c r="GK304" s="36"/>
      <c r="GL304" s="36"/>
      <c r="GM304" s="36"/>
      <c r="GN304" s="36"/>
      <c r="GO304" s="36"/>
      <c r="GP304" s="36"/>
      <c r="GQ304" s="36"/>
      <c r="GR304" s="36"/>
      <c r="GS304" s="36"/>
      <c r="GT304" s="36"/>
      <c r="GU304" s="36"/>
      <c r="GV304" s="36"/>
      <c r="GW304" s="36"/>
      <c r="GX304" s="36"/>
      <c r="GY304" s="36"/>
      <c r="GZ304" s="36"/>
      <c r="HA304" s="36"/>
      <c r="HB304" s="36"/>
      <c r="HC304" s="36"/>
      <c r="HD304" s="36"/>
      <c r="HE304" s="36"/>
      <c r="HF304" s="36"/>
      <c r="HG304" s="36"/>
      <c r="HH304" s="36"/>
      <c r="HI304" s="36"/>
      <c r="HJ304" s="36"/>
      <c r="HK304" s="36"/>
      <c r="HL304" s="36"/>
      <c r="HM304" s="36"/>
      <c r="HN304" s="36"/>
      <c r="HO304" s="36"/>
      <c r="HP304" s="36"/>
      <c r="HQ304" s="36"/>
      <c r="HR304" s="36"/>
      <c r="HS304" s="36"/>
      <c r="HT304" s="36"/>
      <c r="HU304" s="36"/>
      <c r="HV304" s="36"/>
      <c r="HW304" s="36"/>
      <c r="HX304" s="36"/>
      <c r="HY304" s="36"/>
      <c r="HZ304" s="36"/>
      <c r="IA304" s="36"/>
      <c r="IB304" s="36"/>
      <c r="IC304" s="36"/>
      <c r="ID304" s="36"/>
      <c r="IE304" s="36"/>
      <c r="IF304" s="36"/>
      <c r="IG304" s="36"/>
      <c r="IH304" s="36"/>
      <c r="II304" s="36"/>
      <c r="IJ304" s="36"/>
      <c r="IK304" s="36"/>
      <c r="IL304" s="36"/>
      <c r="IM304" s="36"/>
      <c r="IN304" s="36"/>
      <c r="IO304" s="36"/>
      <c r="IP304" s="36"/>
      <c r="IQ304" s="36"/>
      <c r="IR304" s="36"/>
      <c r="IS304" s="36"/>
      <c r="IT304" s="36"/>
      <c r="IU304" s="36"/>
      <c r="IV304" s="36"/>
    </row>
    <row r="305" spans="1:256" s="35" customFormat="1" ht="15">
      <c r="A305" s="36"/>
      <c r="B305" s="141"/>
      <c r="C305" s="36"/>
      <c r="D305" s="36"/>
      <c r="E305" s="36"/>
      <c r="F305" s="36"/>
      <c r="G305" s="36"/>
      <c r="H305" s="36"/>
      <c r="I305" s="36"/>
      <c r="J305" s="36"/>
      <c r="FW305" s="36"/>
      <c r="FX305" s="36"/>
      <c r="FY305" s="36"/>
      <c r="FZ305" s="36"/>
      <c r="GA305" s="36"/>
      <c r="GB305" s="36"/>
      <c r="GC305" s="36"/>
      <c r="GD305" s="36"/>
      <c r="GE305" s="36"/>
      <c r="GF305" s="36"/>
      <c r="GG305" s="36"/>
      <c r="GH305" s="36"/>
      <c r="GI305" s="36"/>
      <c r="GJ305" s="36"/>
      <c r="GK305" s="36"/>
      <c r="GL305" s="36"/>
      <c r="GM305" s="36"/>
      <c r="GN305" s="36"/>
      <c r="GO305" s="36"/>
      <c r="GP305" s="36"/>
      <c r="GQ305" s="36"/>
      <c r="GR305" s="36"/>
      <c r="GS305" s="36"/>
      <c r="GT305" s="36"/>
      <c r="GU305" s="36"/>
      <c r="GV305" s="36"/>
      <c r="GW305" s="36"/>
      <c r="GX305" s="36"/>
      <c r="GY305" s="36"/>
      <c r="GZ305" s="36"/>
      <c r="HA305" s="36"/>
      <c r="HB305" s="36"/>
      <c r="HC305" s="36"/>
      <c r="HD305" s="36"/>
      <c r="HE305" s="36"/>
      <c r="HF305" s="36"/>
      <c r="HG305" s="36"/>
      <c r="HH305" s="36"/>
      <c r="HI305" s="36"/>
      <c r="HJ305" s="36"/>
      <c r="HK305" s="36"/>
      <c r="HL305" s="36"/>
      <c r="HM305" s="36"/>
      <c r="HN305" s="36"/>
      <c r="HO305" s="36"/>
      <c r="HP305" s="36"/>
      <c r="HQ305" s="36"/>
      <c r="HR305" s="36"/>
      <c r="HS305" s="36"/>
      <c r="HT305" s="36"/>
      <c r="HU305" s="36"/>
      <c r="HV305" s="36"/>
      <c r="HW305" s="36"/>
      <c r="HX305" s="36"/>
      <c r="HY305" s="36"/>
      <c r="HZ305" s="36"/>
      <c r="IA305" s="36"/>
      <c r="IB305" s="36"/>
      <c r="IC305" s="36"/>
      <c r="ID305" s="36"/>
      <c r="IE305" s="36"/>
      <c r="IF305" s="36"/>
      <c r="IG305" s="36"/>
      <c r="IH305" s="36"/>
      <c r="II305" s="36"/>
      <c r="IJ305" s="36"/>
      <c r="IK305" s="36"/>
      <c r="IL305" s="36"/>
      <c r="IM305" s="36"/>
      <c r="IN305" s="36"/>
      <c r="IO305" s="36"/>
      <c r="IP305" s="36"/>
      <c r="IQ305" s="36"/>
      <c r="IR305" s="36"/>
      <c r="IS305" s="36"/>
      <c r="IT305" s="36"/>
      <c r="IU305" s="36"/>
      <c r="IV305" s="36"/>
    </row>
    <row r="306" spans="1:256" s="35" customFormat="1" ht="15">
      <c r="A306" s="36"/>
      <c r="B306" s="141"/>
      <c r="C306" s="36"/>
      <c r="D306" s="36"/>
      <c r="E306" s="36"/>
      <c r="F306" s="36"/>
      <c r="G306" s="36"/>
      <c r="H306" s="36"/>
      <c r="I306" s="36"/>
      <c r="J306" s="36"/>
      <c r="FW306" s="36"/>
      <c r="FX306" s="36"/>
      <c r="FY306" s="36"/>
      <c r="FZ306" s="36"/>
      <c r="GA306" s="36"/>
      <c r="GB306" s="36"/>
      <c r="GC306" s="36"/>
      <c r="GD306" s="36"/>
      <c r="GE306" s="36"/>
      <c r="GF306" s="36"/>
      <c r="GG306" s="36"/>
      <c r="GH306" s="36"/>
      <c r="GI306" s="36"/>
      <c r="GJ306" s="36"/>
      <c r="GK306" s="36"/>
      <c r="GL306" s="36"/>
      <c r="GM306" s="36"/>
      <c r="GN306" s="36"/>
      <c r="GO306" s="36"/>
      <c r="GP306" s="36"/>
      <c r="GQ306" s="36"/>
      <c r="GR306" s="36"/>
      <c r="GS306" s="36"/>
      <c r="GT306" s="36"/>
      <c r="GU306" s="36"/>
      <c r="GV306" s="36"/>
      <c r="GW306" s="36"/>
      <c r="GX306" s="36"/>
      <c r="GY306" s="36"/>
      <c r="GZ306" s="36"/>
      <c r="HA306" s="36"/>
      <c r="HB306" s="36"/>
      <c r="HC306" s="36"/>
      <c r="HD306" s="36"/>
      <c r="HE306" s="36"/>
      <c r="HF306" s="36"/>
      <c r="HG306" s="36"/>
      <c r="HH306" s="36"/>
      <c r="HI306" s="36"/>
      <c r="HJ306" s="36"/>
      <c r="HK306" s="36"/>
      <c r="HL306" s="36"/>
      <c r="HM306" s="36"/>
      <c r="HN306" s="36"/>
      <c r="HO306" s="36"/>
      <c r="HP306" s="36"/>
      <c r="HQ306" s="36"/>
      <c r="HR306" s="36"/>
      <c r="HS306" s="36"/>
      <c r="HT306" s="36"/>
      <c r="HU306" s="36"/>
      <c r="HV306" s="36"/>
      <c r="HW306" s="36"/>
      <c r="HX306" s="36"/>
      <c r="HY306" s="36"/>
      <c r="HZ306" s="36"/>
      <c r="IA306" s="36"/>
      <c r="IB306" s="36"/>
      <c r="IC306" s="36"/>
      <c r="ID306" s="36"/>
      <c r="IE306" s="36"/>
      <c r="IF306" s="36"/>
      <c r="IG306" s="36"/>
      <c r="IH306" s="36"/>
      <c r="II306" s="36"/>
      <c r="IJ306" s="36"/>
      <c r="IK306" s="36"/>
      <c r="IL306" s="36"/>
      <c r="IM306" s="36"/>
      <c r="IN306" s="36"/>
      <c r="IO306" s="36"/>
      <c r="IP306" s="36"/>
      <c r="IQ306" s="36"/>
      <c r="IR306" s="36"/>
      <c r="IS306" s="36"/>
      <c r="IT306" s="36"/>
      <c r="IU306" s="36"/>
      <c r="IV306" s="36"/>
    </row>
    <row r="307" spans="1:256" s="35" customFormat="1" ht="15">
      <c r="A307" s="36"/>
      <c r="B307" s="141"/>
      <c r="C307" s="36"/>
      <c r="D307" s="36"/>
      <c r="E307" s="36"/>
      <c r="F307" s="36"/>
      <c r="G307" s="36"/>
      <c r="H307" s="36"/>
      <c r="I307" s="36"/>
      <c r="J307" s="36"/>
      <c r="FW307" s="36"/>
      <c r="FX307" s="36"/>
      <c r="FY307" s="36"/>
      <c r="FZ307" s="36"/>
      <c r="GA307" s="36"/>
      <c r="GB307" s="36"/>
      <c r="GC307" s="36"/>
      <c r="GD307" s="36"/>
      <c r="GE307" s="36"/>
      <c r="GF307" s="36"/>
      <c r="GG307" s="36"/>
      <c r="GH307" s="36"/>
      <c r="GI307" s="36"/>
      <c r="GJ307" s="36"/>
      <c r="GK307" s="36"/>
      <c r="GL307" s="36"/>
      <c r="GM307" s="36"/>
      <c r="GN307" s="36"/>
      <c r="GO307" s="36"/>
      <c r="GP307" s="36"/>
      <c r="GQ307" s="36"/>
      <c r="GR307" s="36"/>
      <c r="GS307" s="36"/>
      <c r="GT307" s="36"/>
      <c r="GU307" s="36"/>
      <c r="GV307" s="36"/>
      <c r="GW307" s="36"/>
      <c r="GX307" s="36"/>
      <c r="GY307" s="36"/>
      <c r="GZ307" s="36"/>
      <c r="HA307" s="36"/>
      <c r="HB307" s="36"/>
      <c r="HC307" s="36"/>
      <c r="HD307" s="36"/>
      <c r="HE307" s="36"/>
      <c r="HF307" s="36"/>
      <c r="HG307" s="36"/>
      <c r="HH307" s="36"/>
      <c r="HI307" s="36"/>
      <c r="HJ307" s="36"/>
      <c r="HK307" s="36"/>
      <c r="HL307" s="36"/>
      <c r="HM307" s="36"/>
      <c r="HN307" s="36"/>
      <c r="HO307" s="36"/>
      <c r="HP307" s="36"/>
      <c r="HQ307" s="36"/>
      <c r="HR307" s="36"/>
      <c r="HS307" s="36"/>
      <c r="HT307" s="36"/>
      <c r="HU307" s="36"/>
      <c r="HV307" s="36"/>
      <c r="HW307" s="36"/>
      <c r="HX307" s="36"/>
      <c r="HY307" s="36"/>
      <c r="HZ307" s="36"/>
      <c r="IA307" s="36"/>
      <c r="IB307" s="36"/>
      <c r="IC307" s="36"/>
      <c r="ID307" s="36"/>
      <c r="IE307" s="36"/>
      <c r="IF307" s="36"/>
      <c r="IG307" s="36"/>
      <c r="IH307" s="36"/>
      <c r="II307" s="36"/>
      <c r="IJ307" s="36"/>
      <c r="IK307" s="36"/>
      <c r="IL307" s="36"/>
      <c r="IM307" s="36"/>
      <c r="IN307" s="36"/>
      <c r="IO307" s="36"/>
      <c r="IP307" s="36"/>
      <c r="IQ307" s="36"/>
      <c r="IR307" s="36"/>
      <c r="IS307" s="36"/>
      <c r="IT307" s="36"/>
      <c r="IU307" s="36"/>
      <c r="IV307" s="36"/>
    </row>
    <row r="308" spans="1:256" s="35" customFormat="1" ht="15">
      <c r="A308" s="36"/>
      <c r="B308" s="141"/>
      <c r="C308" s="36"/>
      <c r="D308" s="36"/>
      <c r="E308" s="36"/>
      <c r="F308" s="36"/>
      <c r="G308" s="36"/>
      <c r="H308" s="36"/>
      <c r="I308" s="36"/>
      <c r="J308" s="36"/>
      <c r="FW308" s="36"/>
      <c r="FX308" s="36"/>
      <c r="FY308" s="36"/>
      <c r="FZ308" s="36"/>
      <c r="GA308" s="36"/>
      <c r="GB308" s="36"/>
      <c r="GC308" s="36"/>
      <c r="GD308" s="36"/>
      <c r="GE308" s="36"/>
      <c r="GF308" s="36"/>
      <c r="GG308" s="36"/>
      <c r="GH308" s="36"/>
      <c r="GI308" s="36"/>
      <c r="GJ308" s="36"/>
      <c r="GK308" s="36"/>
      <c r="GL308" s="36"/>
      <c r="GM308" s="36"/>
      <c r="GN308" s="36"/>
      <c r="GO308" s="36"/>
      <c r="GP308" s="36"/>
      <c r="GQ308" s="36"/>
      <c r="GR308" s="36"/>
      <c r="GS308" s="36"/>
      <c r="GT308" s="36"/>
      <c r="GU308" s="36"/>
      <c r="GV308" s="36"/>
      <c r="GW308" s="36"/>
      <c r="GX308" s="36"/>
      <c r="GY308" s="36"/>
      <c r="GZ308" s="36"/>
      <c r="HA308" s="36"/>
      <c r="HB308" s="36"/>
      <c r="HC308" s="36"/>
      <c r="HD308" s="36"/>
      <c r="HE308" s="36"/>
      <c r="HF308" s="36"/>
      <c r="HG308" s="36"/>
      <c r="HH308" s="36"/>
      <c r="HI308" s="36"/>
      <c r="HJ308" s="36"/>
      <c r="HK308" s="36"/>
      <c r="HL308" s="36"/>
      <c r="HM308" s="36"/>
      <c r="HN308" s="36"/>
      <c r="HO308" s="36"/>
      <c r="HP308" s="36"/>
      <c r="HQ308" s="36"/>
      <c r="HR308" s="36"/>
      <c r="HS308" s="36"/>
      <c r="HT308" s="36"/>
      <c r="HU308" s="36"/>
      <c r="HV308" s="36"/>
      <c r="HW308" s="36"/>
      <c r="HX308" s="36"/>
      <c r="HY308" s="36"/>
      <c r="HZ308" s="36"/>
      <c r="IA308" s="36"/>
      <c r="IB308" s="36"/>
      <c r="IC308" s="36"/>
      <c r="ID308" s="36"/>
      <c r="IE308" s="36"/>
      <c r="IF308" s="36"/>
      <c r="IG308" s="36"/>
      <c r="IH308" s="36"/>
      <c r="II308" s="36"/>
      <c r="IJ308" s="36"/>
      <c r="IK308" s="36"/>
      <c r="IL308" s="36"/>
      <c r="IM308" s="36"/>
      <c r="IN308" s="36"/>
      <c r="IO308" s="36"/>
      <c r="IP308" s="36"/>
      <c r="IQ308" s="36"/>
      <c r="IR308" s="36"/>
      <c r="IS308" s="36"/>
      <c r="IT308" s="36"/>
      <c r="IU308" s="36"/>
      <c r="IV308" s="36"/>
    </row>
    <row r="309" spans="1:256" s="35" customFormat="1" ht="15">
      <c r="A309" s="36"/>
      <c r="B309" s="141"/>
      <c r="C309" s="36"/>
      <c r="D309" s="36"/>
      <c r="E309" s="36"/>
      <c r="F309" s="36"/>
      <c r="G309" s="36"/>
      <c r="H309" s="36"/>
      <c r="I309" s="36"/>
      <c r="J309" s="36"/>
      <c r="FW309" s="36"/>
      <c r="FX309" s="36"/>
      <c r="FY309" s="36"/>
      <c r="FZ309" s="36"/>
      <c r="GA309" s="36"/>
      <c r="GB309" s="36"/>
      <c r="GC309" s="36"/>
      <c r="GD309" s="36"/>
      <c r="GE309" s="36"/>
      <c r="GF309" s="36"/>
      <c r="GG309" s="36"/>
      <c r="GH309" s="36"/>
      <c r="GI309" s="36"/>
      <c r="GJ309" s="36"/>
      <c r="GK309" s="36"/>
      <c r="GL309" s="36"/>
      <c r="GM309" s="36"/>
      <c r="GN309" s="36"/>
      <c r="GO309" s="36"/>
      <c r="GP309" s="36"/>
      <c r="GQ309" s="36"/>
      <c r="GR309" s="36"/>
      <c r="GS309" s="36"/>
      <c r="GT309" s="36"/>
      <c r="GU309" s="36"/>
      <c r="GV309" s="36"/>
      <c r="GW309" s="36"/>
      <c r="GX309" s="36"/>
      <c r="GY309" s="36"/>
      <c r="GZ309" s="36"/>
      <c r="HA309" s="36"/>
      <c r="HB309" s="36"/>
      <c r="HC309" s="36"/>
      <c r="HD309" s="36"/>
      <c r="HE309" s="36"/>
      <c r="HF309" s="36"/>
      <c r="HG309" s="36"/>
      <c r="HH309" s="36"/>
      <c r="HI309" s="36"/>
      <c r="HJ309" s="36"/>
      <c r="HK309" s="36"/>
      <c r="HL309" s="36"/>
      <c r="HM309" s="36"/>
      <c r="HN309" s="36"/>
      <c r="HO309" s="36"/>
      <c r="HP309" s="36"/>
      <c r="HQ309" s="36"/>
      <c r="HR309" s="36"/>
      <c r="HS309" s="36"/>
      <c r="HT309" s="36"/>
      <c r="HU309" s="36"/>
      <c r="HV309" s="36"/>
      <c r="HW309" s="36"/>
      <c r="HX309" s="36"/>
      <c r="HY309" s="36"/>
      <c r="HZ309" s="36"/>
      <c r="IA309" s="36"/>
      <c r="IB309" s="36"/>
      <c r="IC309" s="36"/>
      <c r="ID309" s="36"/>
      <c r="IE309" s="36"/>
      <c r="IF309" s="36"/>
      <c r="IG309" s="36"/>
      <c r="IH309" s="36"/>
      <c r="II309" s="36"/>
      <c r="IJ309" s="36"/>
      <c r="IK309" s="36"/>
      <c r="IL309" s="36"/>
      <c r="IM309" s="36"/>
      <c r="IN309" s="36"/>
      <c r="IO309" s="36"/>
      <c r="IP309" s="36"/>
      <c r="IQ309" s="36"/>
      <c r="IR309" s="36"/>
      <c r="IS309" s="36"/>
      <c r="IT309" s="36"/>
      <c r="IU309" s="36"/>
      <c r="IV309" s="36"/>
    </row>
    <row r="310" spans="1:256" s="35" customFormat="1" ht="15">
      <c r="A310" s="36"/>
      <c r="B310" s="141"/>
      <c r="C310" s="36"/>
      <c r="D310" s="36"/>
      <c r="E310" s="36"/>
      <c r="F310" s="36"/>
      <c r="G310" s="36"/>
      <c r="H310" s="36"/>
      <c r="I310" s="36"/>
      <c r="J310" s="36"/>
      <c r="FW310" s="36"/>
      <c r="FX310" s="36"/>
      <c r="FY310" s="36"/>
      <c r="FZ310" s="36"/>
      <c r="GA310" s="36"/>
      <c r="GB310" s="36"/>
      <c r="GC310" s="36"/>
      <c r="GD310" s="36"/>
      <c r="GE310" s="36"/>
      <c r="GF310" s="36"/>
      <c r="GG310" s="36"/>
      <c r="GH310" s="36"/>
      <c r="GI310" s="36"/>
      <c r="GJ310" s="36"/>
      <c r="GK310" s="36"/>
      <c r="GL310" s="36"/>
      <c r="GM310" s="36"/>
      <c r="GN310" s="36"/>
      <c r="GO310" s="36"/>
      <c r="GP310" s="36"/>
      <c r="GQ310" s="36"/>
      <c r="GR310" s="36"/>
      <c r="GS310" s="36"/>
      <c r="GT310" s="36"/>
      <c r="GU310" s="36"/>
      <c r="GV310" s="36"/>
      <c r="GW310" s="36"/>
      <c r="GX310" s="36"/>
      <c r="GY310" s="36"/>
      <c r="GZ310" s="36"/>
      <c r="HA310" s="36"/>
      <c r="HB310" s="36"/>
      <c r="HC310" s="36"/>
      <c r="HD310" s="36"/>
      <c r="HE310" s="36"/>
      <c r="HF310" s="36"/>
      <c r="HG310" s="36"/>
      <c r="HH310" s="36"/>
      <c r="HI310" s="36"/>
      <c r="HJ310" s="36"/>
      <c r="HK310" s="36"/>
      <c r="HL310" s="36"/>
      <c r="HM310" s="36"/>
      <c r="HN310" s="36"/>
      <c r="HO310" s="36"/>
      <c r="HP310" s="36"/>
      <c r="HQ310" s="36"/>
      <c r="HR310" s="36"/>
      <c r="HS310" s="36"/>
      <c r="HT310" s="36"/>
      <c r="HU310" s="36"/>
      <c r="HV310" s="36"/>
      <c r="HW310" s="36"/>
      <c r="HX310" s="36"/>
      <c r="HY310" s="36"/>
      <c r="HZ310" s="36"/>
      <c r="IA310" s="36"/>
      <c r="IB310" s="36"/>
      <c r="IC310" s="36"/>
      <c r="ID310" s="36"/>
      <c r="IE310" s="36"/>
      <c r="IF310" s="36"/>
      <c r="IG310" s="36"/>
      <c r="IH310" s="36"/>
      <c r="II310" s="36"/>
      <c r="IJ310" s="36"/>
      <c r="IK310" s="36"/>
      <c r="IL310" s="36"/>
      <c r="IM310" s="36"/>
      <c r="IN310" s="36"/>
      <c r="IO310" s="36"/>
      <c r="IP310" s="36"/>
      <c r="IQ310" s="36"/>
      <c r="IR310" s="36"/>
      <c r="IS310" s="36"/>
      <c r="IT310" s="36"/>
      <c r="IU310" s="36"/>
      <c r="IV310" s="36"/>
    </row>
    <row r="311" spans="1:256" s="35" customFormat="1" ht="15">
      <c r="A311" s="36"/>
      <c r="B311" s="141"/>
      <c r="C311" s="36"/>
      <c r="D311" s="36"/>
      <c r="E311" s="36"/>
      <c r="F311" s="36"/>
      <c r="G311" s="36"/>
      <c r="H311" s="36"/>
      <c r="I311" s="36"/>
      <c r="J311" s="36"/>
      <c r="FW311" s="36"/>
      <c r="FX311" s="36"/>
      <c r="FY311" s="36"/>
      <c r="FZ311" s="36"/>
      <c r="GA311" s="36"/>
      <c r="GB311" s="36"/>
      <c r="GC311" s="36"/>
      <c r="GD311" s="36"/>
      <c r="GE311" s="36"/>
      <c r="GF311" s="36"/>
      <c r="GG311" s="36"/>
      <c r="GH311" s="36"/>
      <c r="GI311" s="36"/>
      <c r="GJ311" s="36"/>
      <c r="GK311" s="36"/>
      <c r="GL311" s="36"/>
      <c r="GM311" s="36"/>
      <c r="GN311" s="36"/>
      <c r="GO311" s="36"/>
      <c r="GP311" s="36"/>
      <c r="GQ311" s="36"/>
      <c r="GR311" s="36"/>
      <c r="GS311" s="36"/>
      <c r="GT311" s="36"/>
      <c r="GU311" s="36"/>
      <c r="GV311" s="36"/>
      <c r="GW311" s="36"/>
      <c r="GX311" s="36"/>
      <c r="GY311" s="36"/>
      <c r="GZ311" s="36"/>
      <c r="HA311" s="36"/>
      <c r="HB311" s="36"/>
      <c r="HC311" s="36"/>
      <c r="HD311" s="36"/>
      <c r="HE311" s="36"/>
      <c r="HF311" s="36"/>
      <c r="HG311" s="36"/>
      <c r="HH311" s="36"/>
      <c r="HI311" s="36"/>
      <c r="HJ311" s="36"/>
      <c r="HK311" s="36"/>
      <c r="HL311" s="36"/>
      <c r="HM311" s="36"/>
      <c r="HN311" s="36"/>
      <c r="HO311" s="36"/>
      <c r="HP311" s="36"/>
      <c r="HQ311" s="36"/>
      <c r="HR311" s="36"/>
      <c r="HS311" s="36"/>
      <c r="HT311" s="36"/>
      <c r="HU311" s="36"/>
      <c r="HV311" s="36"/>
      <c r="HW311" s="36"/>
      <c r="HX311" s="36"/>
      <c r="HY311" s="36"/>
      <c r="HZ311" s="36"/>
      <c r="IA311" s="36"/>
      <c r="IB311" s="36"/>
      <c r="IC311" s="36"/>
      <c r="ID311" s="36"/>
      <c r="IE311" s="36"/>
      <c r="IF311" s="36"/>
      <c r="IG311" s="36"/>
      <c r="IH311" s="36"/>
      <c r="II311" s="36"/>
      <c r="IJ311" s="36"/>
      <c r="IK311" s="36"/>
      <c r="IL311" s="36"/>
      <c r="IM311" s="36"/>
      <c r="IN311" s="36"/>
      <c r="IO311" s="36"/>
      <c r="IP311" s="36"/>
      <c r="IQ311" s="36"/>
      <c r="IR311" s="36"/>
      <c r="IS311" s="36"/>
      <c r="IT311" s="36"/>
      <c r="IU311" s="36"/>
      <c r="IV311" s="36"/>
    </row>
    <row r="312" spans="1:256" s="35" customFormat="1" ht="15">
      <c r="A312" s="36"/>
      <c r="B312" s="141"/>
      <c r="C312" s="36"/>
      <c r="D312" s="36"/>
      <c r="E312" s="36"/>
      <c r="F312" s="36"/>
      <c r="G312" s="36"/>
      <c r="H312" s="36"/>
      <c r="I312" s="36"/>
      <c r="J312" s="36"/>
      <c r="FW312" s="36"/>
      <c r="FX312" s="36"/>
      <c r="FY312" s="36"/>
      <c r="FZ312" s="36"/>
      <c r="GA312" s="36"/>
      <c r="GB312" s="36"/>
      <c r="GC312" s="36"/>
      <c r="GD312" s="36"/>
      <c r="GE312" s="36"/>
      <c r="GF312" s="36"/>
      <c r="GG312" s="36"/>
      <c r="GH312" s="36"/>
      <c r="GI312" s="36"/>
      <c r="GJ312" s="36"/>
      <c r="GK312" s="36"/>
      <c r="GL312" s="36"/>
      <c r="GM312" s="36"/>
      <c r="GN312" s="36"/>
      <c r="GO312" s="36"/>
      <c r="GP312" s="36"/>
      <c r="GQ312" s="36"/>
      <c r="GR312" s="36"/>
      <c r="GS312" s="36"/>
      <c r="GT312" s="36"/>
      <c r="GU312" s="36"/>
      <c r="GV312" s="36"/>
      <c r="GW312" s="36"/>
      <c r="GX312" s="36"/>
      <c r="GY312" s="36"/>
      <c r="GZ312" s="36"/>
      <c r="HA312" s="36"/>
      <c r="HB312" s="36"/>
      <c r="HC312" s="36"/>
      <c r="HD312" s="36"/>
      <c r="HE312" s="36"/>
      <c r="HF312" s="36"/>
      <c r="HG312" s="36"/>
      <c r="HH312" s="36"/>
      <c r="HI312" s="36"/>
      <c r="HJ312" s="36"/>
      <c r="HK312" s="36"/>
      <c r="HL312" s="36"/>
      <c r="HM312" s="36"/>
      <c r="HN312" s="36"/>
      <c r="HO312" s="36"/>
      <c r="HP312" s="36"/>
      <c r="HQ312" s="36"/>
      <c r="HR312" s="36"/>
      <c r="HS312" s="36"/>
      <c r="HT312" s="36"/>
      <c r="HU312" s="36"/>
      <c r="HV312" s="36"/>
      <c r="HW312" s="36"/>
      <c r="HX312" s="36"/>
      <c r="HY312" s="36"/>
      <c r="HZ312" s="36"/>
      <c r="IA312" s="36"/>
      <c r="IB312" s="36"/>
      <c r="IC312" s="36"/>
      <c r="ID312" s="36"/>
      <c r="IE312" s="36"/>
      <c r="IF312" s="36"/>
      <c r="IG312" s="36"/>
      <c r="IH312" s="36"/>
      <c r="II312" s="36"/>
      <c r="IJ312" s="36"/>
      <c r="IK312" s="36"/>
      <c r="IL312" s="36"/>
      <c r="IM312" s="36"/>
      <c r="IN312" s="36"/>
      <c r="IO312" s="36"/>
      <c r="IP312" s="36"/>
      <c r="IQ312" s="36"/>
      <c r="IR312" s="36"/>
      <c r="IS312" s="36"/>
      <c r="IT312" s="36"/>
      <c r="IU312" s="36"/>
      <c r="IV312" s="36"/>
    </row>
  </sheetData>
  <sheetProtection selectLockedCells="1" selectUnlockedCells="1"/>
  <mergeCells count="44">
    <mergeCell ref="A153:B153"/>
    <mergeCell ref="A180:I180"/>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6:J116"/>
    <mergeCell ref="A117:J117"/>
    <mergeCell ref="A119:B120"/>
    <mergeCell ref="C119:C120"/>
    <mergeCell ref="A121:B121"/>
    <mergeCell ref="A122:B122"/>
    <mergeCell ref="A1:J1"/>
    <mergeCell ref="A2:J2"/>
    <mergeCell ref="A3:J3"/>
    <mergeCell ref="A6:A7"/>
    <mergeCell ref="B6:B7"/>
    <mergeCell ref="A115:J115"/>
  </mergeCells>
  <printOptions/>
  <pageMargins left="0.7875" right="0.7875" top="0.9840277777777777" bottom="0.9840277777777777" header="0.5118055555555555" footer="0.5118055555555555"/>
  <pageSetup horizontalDpi="300" verticalDpi="300" orientation="portrait" scale="34"/>
  <rowBreaks count="2" manualBreakCount="2">
    <brk id="107" max="255" man="1"/>
    <brk id="117" max="255" man="1"/>
  </rowBreaks>
  <colBreaks count="1" manualBreakCount="1">
    <brk id="4" max="65535" man="1"/>
  </colBreaks>
</worksheet>
</file>

<file path=xl/worksheets/sheet3.xml><?xml version="1.0" encoding="utf-8"?>
<worksheet xmlns="http://schemas.openxmlformats.org/spreadsheetml/2006/main" xmlns:r="http://schemas.openxmlformats.org/officeDocument/2006/relationships">
  <sheetPr codeName="Projeções - RPPS"/>
  <dimension ref="A1:IV227"/>
  <sheetViews>
    <sheetView zoomScale="120" zoomScaleNormal="120" zoomScalePageLayoutView="0" workbookViewId="0" topLeftCell="A44">
      <selection activeCell="B96" sqref="B96"/>
    </sheetView>
  </sheetViews>
  <sheetFormatPr defaultColWidth="18.8515625" defaultRowHeight="12.75"/>
  <cols>
    <col min="1" max="1" width="27.421875" style="18" customWidth="1"/>
    <col min="2" max="2" width="18.421875" style="19" customWidth="1"/>
    <col min="3" max="3" width="74.421875" style="18" customWidth="1"/>
    <col min="4" max="7" width="20.421875" style="18" customWidth="1"/>
    <col min="8" max="8" width="22.140625" style="18" customWidth="1"/>
    <col min="9" max="9" width="22.57421875" style="18" customWidth="1"/>
    <col min="10" max="10" width="22.7109375" style="18" customWidth="1"/>
    <col min="11" max="178" width="18.8515625" style="20" customWidth="1"/>
    <col min="179" max="16384" width="18.8515625" style="18" customWidth="1"/>
  </cols>
  <sheetData>
    <row r="1" spans="1:256" s="21" customFormat="1" ht="17.25" customHeight="1">
      <c r="A1" s="541" t="str">
        <f>Parâmetros!A7</f>
        <v>Município de Ivoti</v>
      </c>
      <c r="B1" s="541"/>
      <c r="C1" s="541"/>
      <c r="D1" s="541"/>
      <c r="E1" s="541"/>
      <c r="F1" s="541"/>
      <c r="G1" s="541"/>
      <c r="H1" s="541"/>
      <c r="I1" s="541"/>
      <c r="J1" s="541"/>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s="21" customFormat="1" ht="30" customHeight="1">
      <c r="A2" s="542" t="str">
        <f>Parâmetros!A8</f>
        <v>LEI DE DIRETRIZES ORÇAMENTÁRIAS  PARA 2024</v>
      </c>
      <c r="B2" s="542"/>
      <c r="C2" s="542"/>
      <c r="D2" s="542"/>
      <c r="E2" s="542"/>
      <c r="F2" s="542"/>
      <c r="G2" s="542"/>
      <c r="H2" s="542"/>
      <c r="I2" s="542"/>
      <c r="J2" s="54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row>
    <row r="3" spans="1:256" s="21" customFormat="1" ht="19.5" customHeight="1">
      <c r="A3" s="543" t="s">
        <v>303</v>
      </c>
      <c r="B3" s="543"/>
      <c r="C3" s="543"/>
      <c r="D3" s="543"/>
      <c r="E3" s="543"/>
      <c r="F3" s="543"/>
      <c r="G3" s="543"/>
      <c r="H3" s="543"/>
      <c r="I3" s="543"/>
      <c r="J3" s="543"/>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row>
    <row r="4" spans="1:256" s="21" customFormat="1" ht="15.75" hidden="1">
      <c r="A4" s="23"/>
      <c r="B4" s="24"/>
      <c r="C4" s="25"/>
      <c r="D4" s="25"/>
      <c r="E4" s="25"/>
      <c r="F4" s="25"/>
      <c r="G4" s="25"/>
      <c r="H4" s="25"/>
      <c r="I4" s="25"/>
      <c r="J4" s="25"/>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row>
    <row r="5" spans="1:256" s="21" customFormat="1" ht="15.75">
      <c r="A5" s="26"/>
      <c r="B5" s="27"/>
      <c r="C5" s="28"/>
      <c r="D5" s="28"/>
      <c r="E5" s="28"/>
      <c r="F5" s="28"/>
      <c r="G5" s="28"/>
      <c r="H5" s="28"/>
      <c r="I5" s="28"/>
      <c r="J5" s="29" t="s">
        <v>17</v>
      </c>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row>
    <row r="6" spans="1:256" s="35" customFormat="1" ht="15.75" customHeight="1">
      <c r="A6" s="544" t="s">
        <v>18</v>
      </c>
      <c r="B6" s="545" t="s">
        <v>19</v>
      </c>
      <c r="C6" s="30" t="s">
        <v>20</v>
      </c>
      <c r="D6" s="31" t="s">
        <v>21</v>
      </c>
      <c r="E6" s="31" t="s">
        <v>21</v>
      </c>
      <c r="F6" s="31" t="s">
        <v>21</v>
      </c>
      <c r="G6" s="32" t="s">
        <v>22</v>
      </c>
      <c r="H6" s="32" t="s">
        <v>23</v>
      </c>
      <c r="I6" s="33" t="s">
        <v>23</v>
      </c>
      <c r="J6" s="34" t="s">
        <v>23</v>
      </c>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c r="IV6" s="36"/>
    </row>
    <row r="7" spans="1:256" s="35" customFormat="1" ht="27.75" customHeight="1">
      <c r="A7" s="544"/>
      <c r="B7" s="545"/>
      <c r="C7" s="37" t="s">
        <v>24</v>
      </c>
      <c r="D7" s="38">
        <f>Parâmetros!B10-1</f>
        <v>2020</v>
      </c>
      <c r="E7" s="39">
        <f aca="true" t="shared" si="0" ref="E7:J7">D7+1</f>
        <v>2021</v>
      </c>
      <c r="F7" s="39">
        <f t="shared" si="0"/>
        <v>2022</v>
      </c>
      <c r="G7" s="39">
        <f t="shared" si="0"/>
        <v>2023</v>
      </c>
      <c r="H7" s="39">
        <f t="shared" si="0"/>
        <v>2024</v>
      </c>
      <c r="I7" s="39">
        <f t="shared" si="0"/>
        <v>2025</v>
      </c>
      <c r="J7" s="39">
        <f t="shared" si="0"/>
        <v>2026</v>
      </c>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s="44" customFormat="1" ht="17.25" customHeight="1">
      <c r="A8" s="40" t="s">
        <v>25</v>
      </c>
      <c r="B8" s="41">
        <v>10000000</v>
      </c>
      <c r="C8" s="42" t="s">
        <v>26</v>
      </c>
      <c r="D8" s="43">
        <f aca="true" t="shared" si="1" ref="D8:J8">SUM(D9:D17)</f>
        <v>8899495.059999999</v>
      </c>
      <c r="E8" s="43">
        <f t="shared" si="1"/>
        <v>7947071.4799999995</v>
      </c>
      <c r="F8" s="43">
        <f t="shared" si="1"/>
        <v>13395171.73</v>
      </c>
      <c r="G8" s="43">
        <f t="shared" si="1"/>
        <v>21731333.8025</v>
      </c>
      <c r="H8" s="43">
        <f t="shared" si="1"/>
        <v>16805416.88445111</v>
      </c>
      <c r="I8" s="43">
        <f t="shared" si="1"/>
        <v>17707968.402519684</v>
      </c>
      <c r="J8" s="43">
        <f t="shared" si="1"/>
        <v>18652816.751587734</v>
      </c>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1:256" s="56" customFormat="1" ht="12.75">
      <c r="A9" s="52" t="s">
        <v>304</v>
      </c>
      <c r="B9" s="47">
        <v>12150000</v>
      </c>
      <c r="C9" s="53" t="s">
        <v>305</v>
      </c>
      <c r="D9" s="54">
        <v>2788180.8</v>
      </c>
      <c r="E9" s="54">
        <v>3689288.68</v>
      </c>
      <c r="F9" s="54">
        <v>3531921.57</v>
      </c>
      <c r="G9" s="54">
        <f>1206503.33+(1304949.81/4*9)</f>
        <v>4142640.4025000003</v>
      </c>
      <c r="H9" s="55">
        <f>(((E9*(1+Parâmetros!B11)*(1+Parâmetros!C11)*(1+Parâmetros!D11))+(F9*(1+Parâmetros!C11)*(1+Parâmetros!D11)+(G9*(1+Parâmetros!D11))))/3)*(1+Parâmetros!E11)*(1+Parâmetros!E13)*(1+Parâmetros!E18)</f>
        <v>4661501.628403738</v>
      </c>
      <c r="I9" s="55">
        <f>H9*(1+Parâmetros!F11)*(1+Parâmetros!F13)*(1+Parâmetros!F18)</f>
        <v>4902721.285469072</v>
      </c>
      <c r="J9" s="55">
        <f>I9*(1+Parâmetros!G11)*(1+Parâmetros!G13)*(1+Parâmetros!G18)</f>
        <v>5151446.141723489</v>
      </c>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56" customFormat="1" ht="12.75">
      <c r="A10" s="52" t="s">
        <v>306</v>
      </c>
      <c r="B10" s="47">
        <v>13210400</v>
      </c>
      <c r="C10" s="53" t="s">
        <v>307</v>
      </c>
      <c r="D10" s="54">
        <v>5942853.51</v>
      </c>
      <c r="E10" s="54">
        <v>4124162.49</v>
      </c>
      <c r="F10" s="54">
        <v>9679655.43</v>
      </c>
      <c r="G10" s="54">
        <f>(10158970.65/7*12)</f>
        <v>17415378.257142857</v>
      </c>
      <c r="H10" s="55">
        <f>(((E10*(1+Parâmetros!B11)*(1+Parâmetros!C11)*(1+Parâmetros!D11))+(F10*(1+Parâmetros!C11)*(1+Parâmetros!D11)+(G10*(1+Parâmetros!D11))))/3)*(1+Parâmetros!E11)*(1+Parâmetros!E12)</f>
        <v>11953695.246567227</v>
      </c>
      <c r="I10" s="55">
        <f>H10*(1+Parâmetros!F11)*(1+Parâmetros!F12)</f>
        <v>12608179.187229177</v>
      </c>
      <c r="J10" s="55">
        <f>I10*(1+Parâmetros!G11)*(1+Parâmetros!G12)</f>
        <v>13297405.302499058</v>
      </c>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56" customFormat="1" ht="12.75">
      <c r="A11" s="52" t="s">
        <v>69</v>
      </c>
      <c r="B11" s="47">
        <v>13610000</v>
      </c>
      <c r="C11" s="53" t="s">
        <v>308</v>
      </c>
      <c r="D11" s="54">
        <v>0</v>
      </c>
      <c r="E11" s="54">
        <v>0</v>
      </c>
      <c r="F11" s="54">
        <v>0</v>
      </c>
      <c r="G11" s="54">
        <v>0</v>
      </c>
      <c r="H11" s="55">
        <f>(((E11*(1+Parâmetros!B11)*(1+Parâmetros!C11)*(1+Parâmetros!D11))+(F11*(1+Parâmetros!C11)*(1+Parâmetros!D11)+(G11*(1+Parâmetros!D11))))/3)*(1+Parâmetros!E11)</f>
        <v>0</v>
      </c>
      <c r="I11" s="55">
        <f>H11*(1+Parâmetros!F11)</f>
        <v>0</v>
      </c>
      <c r="J11" s="55">
        <f>I11*(1+Parâmetros!G11)</f>
        <v>0</v>
      </c>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56" customFormat="1" ht="12.75">
      <c r="A12" s="52" t="s">
        <v>71</v>
      </c>
      <c r="B12" s="47">
        <v>13900000</v>
      </c>
      <c r="C12" s="53" t="s">
        <v>309</v>
      </c>
      <c r="D12" s="54">
        <v>0</v>
      </c>
      <c r="E12" s="54">
        <v>0</v>
      </c>
      <c r="F12" s="54">
        <v>0</v>
      </c>
      <c r="G12" s="54">
        <v>0</v>
      </c>
      <c r="H12" s="55">
        <f>(((E12*(1+Parâmetros!B11)*(1+Parâmetros!C11)*(1+Parâmetros!D11))+(F12*(1+Parâmetros!C11)*(1+Parâmetros!D11)+(G12*(1+Parâmetros!D11))))/3)*(1+Parâmetros!E11)*(1+Parâmetros!E12)</f>
        <v>0</v>
      </c>
      <c r="I12" s="55">
        <f>H12*(1+Parâmetros!F11)*(1+Parâmetros!F12)</f>
        <v>0</v>
      </c>
      <c r="J12" s="55">
        <f>I12*(1+Parâmetros!G11)*(1+Parâmetros!G12)</f>
        <v>0</v>
      </c>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56" customFormat="1" ht="12.75">
      <c r="A13" s="52" t="s">
        <v>77</v>
      </c>
      <c r="B13" s="47">
        <v>16999900</v>
      </c>
      <c r="C13" s="53" t="s">
        <v>82</v>
      </c>
      <c r="D13" s="54">
        <v>0</v>
      </c>
      <c r="E13" s="54">
        <v>0</v>
      </c>
      <c r="F13" s="54">
        <v>0</v>
      </c>
      <c r="G13" s="54">
        <v>0</v>
      </c>
      <c r="H13" s="55">
        <f>(((E13*(1+Parâmetros!B11)*(1+Parâmetros!C11)*(1+Parâmetros!D11))+(F13*(1+Parâmetros!C11)*(1+Parâmetros!D11)+(G13*(1+Parâmetros!D11))))/3)*(1+Parâmetros!E11)*(1+Parâmetros!E11)</f>
        <v>0</v>
      </c>
      <c r="I13" s="55">
        <f>H13*(1+Parâmetros!F1)</f>
        <v>0</v>
      </c>
      <c r="J13" s="55">
        <f>I13*(1+Parâmetros!G11)</f>
        <v>0</v>
      </c>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56" customFormat="1" ht="12.75">
      <c r="A14" s="52" t="s">
        <v>140</v>
      </c>
      <c r="B14" s="47">
        <v>19110000</v>
      </c>
      <c r="C14" s="53" t="s">
        <v>310</v>
      </c>
      <c r="D14" s="54">
        <v>0</v>
      </c>
      <c r="E14" s="54">
        <v>0</v>
      </c>
      <c r="F14" s="54">
        <v>0</v>
      </c>
      <c r="G14" s="54">
        <v>0</v>
      </c>
      <c r="H14" s="55">
        <f>(((E14*(1+Parâmetros!B11)*(1+Parâmetros!C11)*(1+Parâmetros!D11))+(F14*(1+Parâmetros!C11)*(1+Parâmetros!D11)+(G14*(1+Parâmetros!D11))))/3)*(1+Parâmetros!E11)</f>
        <v>0</v>
      </c>
      <c r="I14" s="55">
        <f>H14*(1+Parâmetros!F11)</f>
        <v>0</v>
      </c>
      <c r="J14" s="55">
        <f>I14*(1+Parâmetros!G11)</f>
        <v>0</v>
      </c>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56" customFormat="1" ht="12.75">
      <c r="A15" s="52" t="s">
        <v>146</v>
      </c>
      <c r="B15" s="47">
        <v>19220000</v>
      </c>
      <c r="C15" s="53" t="s">
        <v>143</v>
      </c>
      <c r="D15" s="54">
        <v>0</v>
      </c>
      <c r="E15" s="54">
        <v>0</v>
      </c>
      <c r="F15" s="54">
        <v>0</v>
      </c>
      <c r="G15" s="54">
        <v>0</v>
      </c>
      <c r="H15" s="55">
        <f>(((E15*(1+Parâmetros!B11)*(1+Parâmetros!C11)*(1+Parâmetros!D11))+(F15*(1+Parâmetros!C11)*(1+Parâmetros!D11)+(G15*(1+Parâmetros!D11))))/3)*(1+Parâmetros!E11)</f>
        <v>0</v>
      </c>
      <c r="I15" s="55">
        <f>H15*(1+Parâmetros!F11)</f>
        <v>0</v>
      </c>
      <c r="J15" s="55">
        <f>I15*(1+Parâmetros!G11)</f>
        <v>0</v>
      </c>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56" customFormat="1" ht="25.5">
      <c r="A16" s="52" t="s">
        <v>311</v>
      </c>
      <c r="B16" s="47">
        <v>19990300</v>
      </c>
      <c r="C16" s="53" t="s">
        <v>312</v>
      </c>
      <c r="D16" s="54">
        <v>154554</v>
      </c>
      <c r="E16" s="54">
        <v>125131.46</v>
      </c>
      <c r="F16" s="54">
        <v>178262.58</v>
      </c>
      <c r="G16" s="54">
        <f>(101100.5/7*12)</f>
        <v>173315.14285714284</v>
      </c>
      <c r="H16" s="55">
        <f>(((E16*(1+Parâmetros!B11)*(1+Parâmetros!C11)*(1+Parâmetros!D11))+(F16*(1+Parâmetros!C11)*(1+Parâmetros!D11)+(G16*(1+Parâmetros!D11))))/3)*(1+Parâmetros!E11)</f>
        <v>184574.9895121696</v>
      </c>
      <c r="I16" s="55">
        <f>H16*(1+Parâmetros!F11)</f>
        <v>191219.6891346077</v>
      </c>
      <c r="J16" s="55">
        <f>I16*(1+Parâmetros!G11)</f>
        <v>197912.37825431896</v>
      </c>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56" customFormat="1" ht="12.75">
      <c r="A17" s="52" t="s">
        <v>158</v>
      </c>
      <c r="B17" s="47">
        <v>19999900</v>
      </c>
      <c r="C17" s="53" t="s">
        <v>313</v>
      </c>
      <c r="D17" s="54">
        <v>13906.75</v>
      </c>
      <c r="E17" s="54">
        <v>8488.85</v>
      </c>
      <c r="F17" s="54">
        <v>5332.15</v>
      </c>
      <c r="G17" s="54">
        <v>0</v>
      </c>
      <c r="H17" s="55">
        <f>(((E17*(1+Parâmetros!B11)*(1+Parâmetros!C11)*(1+Parâmetros!D11))+(F17*(1+Parâmetros!C11)*(1+Parâmetros!D11)+(G17*(1+Parâmetros!D11))))/3)*(1+Parâmetros!E11)</f>
        <v>5645.019967978322</v>
      </c>
      <c r="I17" s="55">
        <f>H17*(1+Parâmetros!F11)</f>
        <v>5848.240686825541</v>
      </c>
      <c r="J17" s="55">
        <f>I17*(1+Parâmetros!G11)</f>
        <v>6052.929110864435</v>
      </c>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69" customFormat="1" ht="18">
      <c r="A18" s="46" t="s">
        <v>160</v>
      </c>
      <c r="B18" s="47">
        <v>20000000</v>
      </c>
      <c r="C18" s="48" t="s">
        <v>161</v>
      </c>
      <c r="D18" s="49">
        <f aca="true" t="shared" si="2" ref="D18:J18">SUM(D19:D24)</f>
        <v>0</v>
      </c>
      <c r="E18" s="49">
        <f t="shared" si="2"/>
        <v>0</v>
      </c>
      <c r="F18" s="49">
        <f t="shared" si="2"/>
        <v>0</v>
      </c>
      <c r="G18" s="49">
        <f t="shared" si="2"/>
        <v>0</v>
      </c>
      <c r="H18" s="49">
        <f t="shared" si="2"/>
        <v>0</v>
      </c>
      <c r="I18" s="49">
        <f t="shared" si="2"/>
        <v>0</v>
      </c>
      <c r="J18" s="49">
        <f t="shared" si="2"/>
        <v>0</v>
      </c>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256" s="67" customFormat="1" ht="12.75">
      <c r="A19" s="52" t="s">
        <v>166</v>
      </c>
      <c r="B19" s="47">
        <v>22110100</v>
      </c>
      <c r="C19" s="53" t="s">
        <v>167</v>
      </c>
      <c r="D19" s="54">
        <v>0</v>
      </c>
      <c r="E19" s="54">
        <v>0</v>
      </c>
      <c r="F19" s="54">
        <v>0</v>
      </c>
      <c r="G19" s="54">
        <v>0</v>
      </c>
      <c r="H19" s="55">
        <f>((D19+E19+F19+G19)/4)*(1+Parâmetros!E11)</f>
        <v>0</v>
      </c>
      <c r="I19" s="55">
        <f>((E19+F19+G19+H19)/4)*(1+Parâmetros!F11)</f>
        <v>0</v>
      </c>
      <c r="J19" s="55">
        <f>((F19+G19+H19+I19)/4)*(1+Parâmetros!G11)</f>
        <v>0</v>
      </c>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c r="IR19" s="68"/>
      <c r="IS19" s="68"/>
      <c r="IT19" s="68"/>
      <c r="IU19" s="68"/>
      <c r="IV19" s="68"/>
    </row>
    <row r="20" spans="1:256" s="67" customFormat="1" ht="12.75">
      <c r="A20" s="52" t="s">
        <v>168</v>
      </c>
      <c r="B20" s="47">
        <v>22110200</v>
      </c>
      <c r="C20" s="53" t="s">
        <v>169</v>
      </c>
      <c r="D20" s="54">
        <v>0</v>
      </c>
      <c r="E20" s="54">
        <v>0</v>
      </c>
      <c r="F20" s="54">
        <v>0</v>
      </c>
      <c r="G20" s="54">
        <v>0</v>
      </c>
      <c r="H20" s="55">
        <f>((D20+E20+F20+G20)/4)*(1+Parâmetros!E11)</f>
        <v>0</v>
      </c>
      <c r="I20" s="55">
        <f>((E20+F20+G20+H20)/4)*(1+Parâmetros!F11)</f>
        <v>0</v>
      </c>
      <c r="J20" s="55">
        <f>((F20+G20+H20+I20)/4)*(1+Parâmetros!G11)</f>
        <v>0</v>
      </c>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c r="IP20" s="68"/>
      <c r="IQ20" s="68"/>
      <c r="IR20" s="68"/>
      <c r="IS20" s="68"/>
      <c r="IT20" s="68"/>
      <c r="IU20" s="68"/>
      <c r="IV20" s="68"/>
    </row>
    <row r="21" spans="1:10" s="56" customFormat="1" ht="12.75">
      <c r="A21" s="52" t="s">
        <v>170</v>
      </c>
      <c r="B21" s="47">
        <v>22100000</v>
      </c>
      <c r="C21" s="53" t="s">
        <v>171</v>
      </c>
      <c r="D21" s="54">
        <v>0</v>
      </c>
      <c r="E21" s="54">
        <v>0</v>
      </c>
      <c r="F21" s="54">
        <v>0</v>
      </c>
      <c r="G21" s="54">
        <v>0</v>
      </c>
      <c r="H21" s="55">
        <f>(((E21*(1+Parâmetros!B11)*(1+Parâmetros!C11)*(1+Parâmetros!D11))+(F21*(1+Parâmetros!C11)*(1+Parâmetros!D11)+(G21*(1+Parâmetros!D11))))/3)*(1+Parâmetros!E11)</f>
        <v>0</v>
      </c>
      <c r="I21" s="55">
        <f>H21*(1+Parâmetros!F11)</f>
        <v>0</v>
      </c>
      <c r="J21" s="55">
        <f>I21*(1+Parâmetros!G11)</f>
        <v>0</v>
      </c>
    </row>
    <row r="22" spans="1:10" s="56" customFormat="1" ht="12.75">
      <c r="A22" s="52" t="s">
        <v>172</v>
      </c>
      <c r="B22" s="47">
        <v>22210100</v>
      </c>
      <c r="C22" s="53" t="s">
        <v>173</v>
      </c>
      <c r="D22" s="54">
        <v>0</v>
      </c>
      <c r="E22" s="54">
        <v>0</v>
      </c>
      <c r="F22" s="54">
        <v>0</v>
      </c>
      <c r="G22" s="54">
        <v>0</v>
      </c>
      <c r="H22" s="55">
        <f>(((E22*(1+Parâmetros!B11)*(1+Parâmetros!C11)*(1+Parâmetros!D11))+(F22*(1+Parâmetros!C11)*(1+Parâmetros!D11)+(G22*(1+Parâmetros!D11))))/3)*(1+Parâmetros!E11)</f>
        <v>0</v>
      </c>
      <c r="I22" s="55">
        <f>H22*(1+Parâmetros!F11)</f>
        <v>0</v>
      </c>
      <c r="J22" s="55">
        <f>I22*(1+Parâmetros!G11)</f>
        <v>0</v>
      </c>
    </row>
    <row r="23" spans="1:10" s="56" customFormat="1" ht="12.75">
      <c r="A23" s="52" t="s">
        <v>174</v>
      </c>
      <c r="B23" s="47">
        <v>23110000</v>
      </c>
      <c r="C23" s="53" t="s">
        <v>175</v>
      </c>
      <c r="D23" s="54">
        <v>0</v>
      </c>
      <c r="E23" s="54">
        <v>0</v>
      </c>
      <c r="F23" s="54">
        <v>0</v>
      </c>
      <c r="G23" s="54">
        <v>0</v>
      </c>
      <c r="H23" s="55">
        <f>(((E23*(1+Parâmetros!B11)*(1+Parâmetros!C11)*(1+Parâmetros!D11))+(F23*(1+Parâmetros!C11)*(1+Parâmetros!D11)+(G23*(1+Parâmetros!D11))))/3)*(1+Parâmetros!E11)</f>
        <v>0</v>
      </c>
      <c r="I23" s="55">
        <f>H23*(1+Parâmetros!F11)</f>
        <v>0</v>
      </c>
      <c r="J23" s="55">
        <f>I23*(1+Parâmetros!G11)</f>
        <v>0</v>
      </c>
    </row>
    <row r="24" spans="1:256" s="56" customFormat="1" ht="12.75">
      <c r="A24" s="52" t="s">
        <v>188</v>
      </c>
      <c r="B24" s="47">
        <v>29999900</v>
      </c>
      <c r="C24" s="148" t="s">
        <v>314</v>
      </c>
      <c r="D24" s="54">
        <v>0</v>
      </c>
      <c r="E24" s="54">
        <v>0</v>
      </c>
      <c r="F24" s="54">
        <v>0</v>
      </c>
      <c r="G24" s="54">
        <v>0</v>
      </c>
      <c r="H24" s="55">
        <f>(((E24*(1+Parâmetros!B11)*(1+Parâmetros!C11)*(1+Parâmetros!D11))+(F24*(1+Parâmetros!C11)*(1+Parâmetros!D11)+(G24*(1+Parâmetros!D11))))/3)*(1+Parâmetros!E11)</f>
        <v>0</v>
      </c>
      <c r="I24" s="55">
        <f>H24*(1+Parâmetros!F11)</f>
        <v>0</v>
      </c>
      <c r="J24" s="55">
        <f>I24*(1+Parâmetros!G11)</f>
        <v>0</v>
      </c>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10" s="74" customFormat="1" ht="18">
      <c r="A25" s="149" t="s">
        <v>191</v>
      </c>
      <c r="B25" s="41">
        <v>70000000</v>
      </c>
      <c r="C25" s="48" t="s">
        <v>315</v>
      </c>
      <c r="D25" s="49">
        <f>SUM(D26:D27)</f>
        <v>7747127.69</v>
      </c>
      <c r="E25" s="49">
        <f aca="true" t="shared" si="3" ref="E25:J25">E26+E27</f>
        <v>8163535.71</v>
      </c>
      <c r="F25" s="49">
        <f t="shared" si="3"/>
        <v>7815347.34</v>
      </c>
      <c r="G25" s="49">
        <f t="shared" si="3"/>
        <v>9110367.1275</v>
      </c>
      <c r="H25" s="49">
        <f t="shared" si="3"/>
        <v>9775494.887861352</v>
      </c>
      <c r="I25" s="49">
        <f t="shared" si="3"/>
        <v>10127412.703824362</v>
      </c>
      <c r="J25" s="49">
        <f t="shared" si="3"/>
        <v>10481872.148458214</v>
      </c>
    </row>
    <row r="26" spans="1:256" s="74" customFormat="1" ht="18">
      <c r="A26" s="150"/>
      <c r="B26" s="41">
        <v>70000000</v>
      </c>
      <c r="C26" s="53" t="s">
        <v>193</v>
      </c>
      <c r="D26" s="54">
        <v>7747127.69</v>
      </c>
      <c r="E26" s="54">
        <v>8163535.71</v>
      </c>
      <c r="F26" s="54">
        <v>7815347.34</v>
      </c>
      <c r="G26" s="54">
        <f>2667281.19+(2863593.75/4*9)</f>
        <v>9110367.1275</v>
      </c>
      <c r="H26" s="49">
        <f>(((E26*(1+Parâmetros!B11)*(1+Parâmetros!C11)*(1+Parâmetros!D11))+(F26*(1+Parâmetros!C11)*(1+Parâmetros!D11)+(G26*(1+Parâmetros!D11))))/3)*(1+Parâmetros!E11)</f>
        <v>9775494.887861352</v>
      </c>
      <c r="I26" s="49">
        <f>H26*(1+Parâmetros!F11)</f>
        <v>10127412.703824362</v>
      </c>
      <c r="J26" s="49">
        <f>I26*(1+Parâmetros!G11)</f>
        <v>10481872.148458214</v>
      </c>
      <c r="IV26" s="54">
        <v>100</v>
      </c>
    </row>
    <row r="27" spans="1:10" s="74" customFormat="1" ht="18">
      <c r="A27" s="150"/>
      <c r="B27" s="41">
        <v>70000000</v>
      </c>
      <c r="C27" s="53" t="s">
        <v>316</v>
      </c>
      <c r="D27" s="54">
        <v>0</v>
      </c>
      <c r="E27" s="54">
        <v>0</v>
      </c>
      <c r="F27" s="54">
        <v>0</v>
      </c>
      <c r="G27" s="54">
        <v>0</v>
      </c>
      <c r="H27" s="49">
        <f>(((E27*(1+Parâmetros!B11)*(1+Parâmetros!C11)*(1+Parâmetros!D11))+(F27*(1+Parâmetros!C11)*(1+Parâmetros!D11)+(G27*(1+Parâmetros!D11))))/3)*(1+Parâmetros!E11)</f>
        <v>0</v>
      </c>
      <c r="I27" s="49">
        <f>H27*(1+Parâmetros!F11)</f>
        <v>0</v>
      </c>
      <c r="J27" s="49">
        <f>I27*(1+Parâmetros!G11)</f>
        <v>0</v>
      </c>
    </row>
    <row r="28" spans="1:10" s="74" customFormat="1" ht="18">
      <c r="A28" s="46" t="s">
        <v>195</v>
      </c>
      <c r="B28" s="47">
        <v>80000000</v>
      </c>
      <c r="C28" s="48" t="s">
        <v>196</v>
      </c>
      <c r="D28" s="49">
        <f aca="true" t="shared" si="4" ref="D28:J28">SUM(D29:D30)</f>
        <v>0</v>
      </c>
      <c r="E28" s="49">
        <f t="shared" si="4"/>
        <v>0</v>
      </c>
      <c r="F28" s="49">
        <f t="shared" si="4"/>
        <v>0</v>
      </c>
      <c r="G28" s="49">
        <f t="shared" si="4"/>
        <v>0</v>
      </c>
      <c r="H28" s="49">
        <f t="shared" si="4"/>
        <v>0</v>
      </c>
      <c r="I28" s="49">
        <f t="shared" si="4"/>
        <v>0</v>
      </c>
      <c r="J28" s="49">
        <f t="shared" si="4"/>
        <v>0</v>
      </c>
    </row>
    <row r="29" spans="1:10" s="74" customFormat="1" ht="18">
      <c r="A29" s="52"/>
      <c r="B29" s="47">
        <v>80000000</v>
      </c>
      <c r="C29" s="53" t="s">
        <v>197</v>
      </c>
      <c r="D29" s="54">
        <v>0</v>
      </c>
      <c r="E29" s="54">
        <v>0</v>
      </c>
      <c r="F29" s="54">
        <v>0</v>
      </c>
      <c r="G29" s="54">
        <v>0</v>
      </c>
      <c r="H29" s="55">
        <f>(((E29*(1+Parâmetros!B11)*(1+Parâmetros!C11)*(1+Parâmetros!D11))+(F29*(1+Parâmetros!C11)*(1+Parâmetros!D11)+(G29*(1+Parâmetros!D11))))/3)*(1+Parâmetros!E11)</f>
        <v>0</v>
      </c>
      <c r="I29" s="55">
        <f>H29*(1+Parâmetros!F11)</f>
        <v>0</v>
      </c>
      <c r="J29" s="55">
        <f>I29*(1+Parâmetros!G11)</f>
        <v>0</v>
      </c>
    </row>
    <row r="30" spans="1:10" s="74" customFormat="1" ht="18">
      <c r="A30" s="52"/>
      <c r="B30" s="47">
        <v>80000000</v>
      </c>
      <c r="C30" s="53" t="s">
        <v>317</v>
      </c>
      <c r="D30" s="54">
        <v>0</v>
      </c>
      <c r="E30" s="54">
        <v>0</v>
      </c>
      <c r="F30" s="54">
        <v>0</v>
      </c>
      <c r="G30" s="54">
        <v>0</v>
      </c>
      <c r="H30" s="55">
        <f>(((E30*(1+Parâmetros!B11)*(1+Parâmetros!C11)*(1+Parâmetros!D11))+(F30*(1+Parâmetros!C11)*(1+Parâmetros!D11)+(G30*(1+Parâmetros!D11))))/3)*(1+Parâmetros!E11)</f>
        <v>0</v>
      </c>
      <c r="I30" s="55">
        <f>H30*(1+Parâmetros!F11)</f>
        <v>0</v>
      </c>
      <c r="J30" s="55">
        <f>I30*(1+Parâmetros!G11)</f>
        <v>0</v>
      </c>
    </row>
    <row r="31" spans="1:256" s="69" customFormat="1" ht="30.75" customHeight="1">
      <c r="A31" s="46" t="s">
        <v>199</v>
      </c>
      <c r="B31" s="47" t="s">
        <v>200</v>
      </c>
      <c r="C31" s="48" t="s">
        <v>318</v>
      </c>
      <c r="D31" s="49">
        <f aca="true" t="shared" si="5" ref="D31:J31">SUM(D32:D34)</f>
        <v>-1726247.61</v>
      </c>
      <c r="E31" s="49">
        <f t="shared" si="5"/>
        <v>-2238807.52</v>
      </c>
      <c r="F31" s="49">
        <f t="shared" si="5"/>
        <v>-966169.54</v>
      </c>
      <c r="G31" s="49">
        <f t="shared" si="5"/>
        <v>-715784.5900000001</v>
      </c>
      <c r="H31" s="49">
        <f t="shared" si="5"/>
        <v>-1579790.1167025848</v>
      </c>
      <c r="I31" s="49">
        <f t="shared" si="5"/>
        <v>-1636662.560903878</v>
      </c>
      <c r="J31" s="49">
        <f t="shared" si="5"/>
        <v>-1693945.7505355135</v>
      </c>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c r="IQ31" s="77"/>
      <c r="IR31" s="77"/>
      <c r="IS31" s="77"/>
      <c r="IT31" s="77"/>
      <c r="IU31" s="77"/>
      <c r="IV31" s="77"/>
    </row>
    <row r="32" spans="1:256" s="56" customFormat="1" ht="12.75">
      <c r="A32" s="52" t="s">
        <v>319</v>
      </c>
      <c r="B32" s="47" t="s">
        <v>320</v>
      </c>
      <c r="C32" s="53" t="s">
        <v>321</v>
      </c>
      <c r="D32" s="78">
        <v>-1726247.61</v>
      </c>
      <c r="E32" s="78">
        <v>-2238259.82</v>
      </c>
      <c r="F32" s="78">
        <v>-963752.79</v>
      </c>
      <c r="G32" s="78">
        <f>-((416737.58/7*12))</f>
        <v>-714407.28</v>
      </c>
      <c r="H32" s="79">
        <f>(((E32*(1+Parâmetros!B11)*(1+Parâmetros!C11)*(1+Parâmetros!D11))+(F32*(1+Parâmetros!C11)*(1+Parâmetros!D11)+(G32*(1+Parâmetros!D11))))/3)*(1+Parâmetros!E11)</f>
        <v>-1578127.7279721648</v>
      </c>
      <c r="I32" s="79">
        <f>H32*(1+Parâmetros!F11)</f>
        <v>-1634940.3261791628</v>
      </c>
      <c r="J32" s="79">
        <f>I32*(1+Parâmetros!G11)</f>
        <v>-1692163.2375954334</v>
      </c>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56" customFormat="1" ht="12.75">
      <c r="A33" s="52" t="s">
        <v>208</v>
      </c>
      <c r="B33" s="47" t="s">
        <v>209</v>
      </c>
      <c r="C33" s="53" t="s">
        <v>322</v>
      </c>
      <c r="D33" s="78">
        <v>0</v>
      </c>
      <c r="E33" s="78">
        <v>-547.7</v>
      </c>
      <c r="F33" s="78">
        <f>-(966169.54-963752.79)</f>
        <v>-2416.75</v>
      </c>
      <c r="G33" s="78">
        <v>-1377.31</v>
      </c>
      <c r="H33" s="79">
        <f>(((E33*(1+Parâmetros!B11)*(1+Parâmetros!C11)*(1+Parâmetros!D11))+(F33*(1+Parâmetros!C11)*(1+Parâmetros!D11)+(G33*(1+Parâmetros!D11))))/3)*(1+Parâmetros!E11)</f>
        <v>-1662.3887304200632</v>
      </c>
      <c r="I33" s="79">
        <f>H33*(1+Parâmetros!F11)</f>
        <v>-1722.2347247151856</v>
      </c>
      <c r="J33" s="79">
        <f>I33*(1+Parâmetros!G11)</f>
        <v>-1782.512940080217</v>
      </c>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56" customFormat="1" ht="12.75">
      <c r="A34" s="52" t="s">
        <v>211</v>
      </c>
      <c r="B34" s="47" t="s">
        <v>212</v>
      </c>
      <c r="C34" s="53" t="s">
        <v>323</v>
      </c>
      <c r="D34" s="78">
        <v>0</v>
      </c>
      <c r="E34" s="78">
        <v>0</v>
      </c>
      <c r="F34" s="78"/>
      <c r="G34" s="78">
        <v>0</v>
      </c>
      <c r="H34" s="79">
        <f>(((E34*(1+Parâmetros!B11)*(1+Parâmetros!C11)*(1+Parâmetros!D11))+(F34*(1+Parâmetros!C11)*(1+Parâmetros!D11)+(G34*(1+Parâmetros!D11))))/3)*(1+Parâmetros!E11)</f>
        <v>0</v>
      </c>
      <c r="I34" s="79">
        <f>H34*(1+Parâmetros!F11)</f>
        <v>0</v>
      </c>
      <c r="J34" s="79">
        <f>I34*(1+Parâmetros!G11)</f>
        <v>0</v>
      </c>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88" customFormat="1" ht="25.5" customHeight="1">
      <c r="A35" s="84"/>
      <c r="B35" s="85"/>
      <c r="C35" s="86" t="s">
        <v>324</v>
      </c>
      <c r="D35" s="87">
        <f aca="true" t="shared" si="6" ref="D35:J35">D8+D18+D25+D28+D31</f>
        <v>14920375.14</v>
      </c>
      <c r="E35" s="87">
        <f t="shared" si="6"/>
        <v>13871799.67</v>
      </c>
      <c r="F35" s="87">
        <f t="shared" si="6"/>
        <v>20244349.53</v>
      </c>
      <c r="G35" s="87">
        <f t="shared" si="6"/>
        <v>30125916.34</v>
      </c>
      <c r="H35" s="87">
        <f t="shared" si="6"/>
        <v>25001121.655609876</v>
      </c>
      <c r="I35" s="87">
        <f t="shared" si="6"/>
        <v>26198718.545440167</v>
      </c>
      <c r="J35" s="87">
        <f t="shared" si="6"/>
        <v>27440743.149510432</v>
      </c>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c r="IS35" s="89"/>
      <c r="IT35" s="89"/>
      <c r="IU35" s="89"/>
      <c r="IV35" s="89"/>
    </row>
    <row r="36" spans="1:256" s="56" customFormat="1" ht="12.75">
      <c r="A36" s="90"/>
      <c r="B36" s="91"/>
      <c r="C36" s="90"/>
      <c r="D36" s="92"/>
      <c r="E36" s="92"/>
      <c r="F36" s="92"/>
      <c r="G36" s="92"/>
      <c r="H36" s="93"/>
      <c r="I36" s="94"/>
      <c r="J36" s="94"/>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56" customFormat="1" ht="15.75">
      <c r="A37" s="546" t="str">
        <f>Parâmetros!A7</f>
        <v>Município de Ivoti</v>
      </c>
      <c r="B37" s="546"/>
      <c r="C37" s="546"/>
      <c r="D37" s="546"/>
      <c r="E37" s="546"/>
      <c r="F37" s="546"/>
      <c r="G37" s="546"/>
      <c r="H37" s="546"/>
      <c r="I37" s="546"/>
      <c r="J37" s="546"/>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56" customFormat="1" ht="15.75">
      <c r="A38" s="547" t="str">
        <f>Parâmetros!A8</f>
        <v>LEI DE DIRETRIZES ORÇAMENTÁRIAS  PARA 2024</v>
      </c>
      <c r="B38" s="547"/>
      <c r="C38" s="547"/>
      <c r="D38" s="547"/>
      <c r="E38" s="547"/>
      <c r="F38" s="547"/>
      <c r="G38" s="547"/>
      <c r="H38" s="547"/>
      <c r="I38" s="547"/>
      <c r="J38" s="547"/>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56" customFormat="1" ht="15.75">
      <c r="A39" s="548" t="s">
        <v>325</v>
      </c>
      <c r="B39" s="548"/>
      <c r="C39" s="548"/>
      <c r="D39" s="548"/>
      <c r="E39" s="548"/>
      <c r="F39" s="548"/>
      <c r="G39" s="548"/>
      <c r="H39" s="548"/>
      <c r="I39" s="548"/>
      <c r="J39" s="548"/>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56" customFormat="1" ht="15">
      <c r="A40" s="90"/>
      <c r="B40" s="91"/>
      <c r="C40" s="90"/>
      <c r="D40" s="92"/>
      <c r="E40" s="92"/>
      <c r="F40" s="92"/>
      <c r="G40" s="92"/>
      <c r="H40" s="94"/>
      <c r="I40" s="94"/>
      <c r="J40" s="29" t="s">
        <v>17</v>
      </c>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35" customFormat="1" ht="15.75">
      <c r="A41" s="549" t="s">
        <v>222</v>
      </c>
      <c r="B41" s="549"/>
      <c r="C41" s="550" t="s">
        <v>223</v>
      </c>
      <c r="D41" s="105" t="s">
        <v>224</v>
      </c>
      <c r="E41" s="105" t="s">
        <v>224</v>
      </c>
      <c r="F41" s="105" t="s">
        <v>224</v>
      </c>
      <c r="G41" s="106" t="s">
        <v>225</v>
      </c>
      <c r="H41" s="106" t="s">
        <v>23</v>
      </c>
      <c r="I41" s="107" t="s">
        <v>23</v>
      </c>
      <c r="J41" s="108" t="s">
        <v>23</v>
      </c>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row>
    <row r="42" spans="1:256" s="35" customFormat="1" ht="27.75" customHeight="1">
      <c r="A42" s="549"/>
      <c r="B42" s="549"/>
      <c r="C42" s="550"/>
      <c r="D42" s="109">
        <f>D7</f>
        <v>2020</v>
      </c>
      <c r="E42" s="110">
        <f aca="true" t="shared" si="7" ref="E42:J42">D42+1</f>
        <v>2021</v>
      </c>
      <c r="F42" s="110">
        <f t="shared" si="7"/>
        <v>2022</v>
      </c>
      <c r="G42" s="110">
        <f t="shared" si="7"/>
        <v>2023</v>
      </c>
      <c r="H42" s="110">
        <f t="shared" si="7"/>
        <v>2024</v>
      </c>
      <c r="I42" s="110">
        <f t="shared" si="7"/>
        <v>2025</v>
      </c>
      <c r="J42" s="110">
        <f t="shared" si="7"/>
        <v>2026</v>
      </c>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row>
    <row r="43" spans="1:256" s="50" customFormat="1" ht="15.75">
      <c r="A43" s="551" t="s">
        <v>226</v>
      </c>
      <c r="B43" s="551"/>
      <c r="C43" s="111" t="s">
        <v>227</v>
      </c>
      <c r="D43" s="113">
        <f aca="true" t="shared" si="8" ref="D43:J43">D44+D48+D52</f>
        <v>4359068.41</v>
      </c>
      <c r="E43" s="113">
        <f t="shared" si="8"/>
        <v>4193895.19</v>
      </c>
      <c r="F43" s="113">
        <f t="shared" si="8"/>
        <v>5378004.34</v>
      </c>
      <c r="G43" s="113">
        <f t="shared" si="8"/>
        <v>6216602.318571429</v>
      </c>
      <c r="H43" s="113">
        <f t="shared" si="8"/>
        <v>6330703.919371037</v>
      </c>
      <c r="I43" s="113">
        <f t="shared" si="8"/>
        <v>6560383.452457868</v>
      </c>
      <c r="J43" s="113">
        <f t="shared" si="8"/>
        <v>6789598.8260597205</v>
      </c>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4"/>
      <c r="IN43" s="114"/>
      <c r="IO43" s="114"/>
      <c r="IP43" s="114"/>
      <c r="IQ43" s="114"/>
      <c r="IR43" s="114"/>
      <c r="IS43" s="114"/>
      <c r="IT43" s="114"/>
      <c r="IU43" s="114"/>
      <c r="IV43" s="114"/>
    </row>
    <row r="44" spans="1:256" s="50" customFormat="1" ht="15.75">
      <c r="A44" s="551" t="s">
        <v>228</v>
      </c>
      <c r="B44" s="551"/>
      <c r="C44" s="111" t="s">
        <v>229</v>
      </c>
      <c r="D44" s="113">
        <f aca="true" t="shared" si="9" ref="D44:J44">SUM(D45:D47)</f>
        <v>3981613.89</v>
      </c>
      <c r="E44" s="113">
        <f t="shared" si="9"/>
        <v>4122416.8</v>
      </c>
      <c r="F44" s="113">
        <f t="shared" si="9"/>
        <v>5277756.06</v>
      </c>
      <c r="G44" s="113">
        <f t="shared" si="9"/>
        <v>6143884.868571429</v>
      </c>
      <c r="H44" s="113">
        <f t="shared" si="9"/>
        <v>6231616.499379304</v>
      </c>
      <c r="I44" s="113">
        <f t="shared" si="9"/>
        <v>6451662.153588724</v>
      </c>
      <c r="J44" s="113">
        <f t="shared" si="9"/>
        <v>6678133.600939329</v>
      </c>
      <c r="FW44" s="114"/>
      <c r="FX44" s="114"/>
      <c r="FY44" s="114"/>
      <c r="FZ44" s="114"/>
      <c r="GA44" s="114"/>
      <c r="GB44" s="114"/>
      <c r="GC44" s="114"/>
      <c r="GD44" s="114"/>
      <c r="GE44" s="114"/>
      <c r="GF44" s="114"/>
      <c r="GG44" s="114"/>
      <c r="GH44" s="114"/>
      <c r="GI44" s="114"/>
      <c r="GJ44" s="114"/>
      <c r="GK44" s="114"/>
      <c r="GL44" s="114"/>
      <c r="GM44" s="114"/>
      <c r="GN44" s="114"/>
      <c r="GO44" s="114"/>
      <c r="GP44" s="114"/>
      <c r="GQ44" s="114"/>
      <c r="GR44" s="114"/>
      <c r="GS44" s="114"/>
      <c r="GT44" s="114"/>
      <c r="GU44" s="114"/>
      <c r="GV44" s="114"/>
      <c r="GW44" s="114"/>
      <c r="GX44" s="114"/>
      <c r="GY44" s="114"/>
      <c r="GZ44" s="114"/>
      <c r="HA44" s="114"/>
      <c r="HB44" s="114"/>
      <c r="HC44" s="114"/>
      <c r="HD44" s="114"/>
      <c r="HE44" s="114"/>
      <c r="HF44" s="114"/>
      <c r="HG44" s="114"/>
      <c r="HH44" s="114"/>
      <c r="HI44" s="114"/>
      <c r="HJ44" s="114"/>
      <c r="HK44" s="114"/>
      <c r="HL44" s="114"/>
      <c r="HM44" s="114"/>
      <c r="HN44" s="114"/>
      <c r="HO44" s="114"/>
      <c r="HP44" s="114"/>
      <c r="HQ44" s="114"/>
      <c r="HR44" s="114"/>
      <c r="HS44" s="114"/>
      <c r="HT44" s="114"/>
      <c r="HU44" s="114"/>
      <c r="HV44" s="114"/>
      <c r="HW44" s="114"/>
      <c r="HX44" s="114"/>
      <c r="HY44" s="114"/>
      <c r="HZ44" s="114"/>
      <c r="IA44" s="114"/>
      <c r="IB44" s="114"/>
      <c r="IC44" s="114"/>
      <c r="ID44" s="114"/>
      <c r="IE44" s="114"/>
      <c r="IF44" s="114"/>
      <c r="IG44" s="114"/>
      <c r="IH44" s="114"/>
      <c r="II44" s="114"/>
      <c r="IJ44" s="114"/>
      <c r="IK44" s="114"/>
      <c r="IL44" s="114"/>
      <c r="IM44" s="114"/>
      <c r="IN44" s="114"/>
      <c r="IO44" s="114"/>
      <c r="IP44" s="114"/>
      <c r="IQ44" s="114"/>
      <c r="IR44" s="114"/>
      <c r="IS44" s="114"/>
      <c r="IT44" s="114"/>
      <c r="IU44" s="114"/>
      <c r="IV44" s="114"/>
    </row>
    <row r="45" spans="1:256" s="50" customFormat="1" ht="14.25" customHeight="1">
      <c r="A45" s="552" t="s">
        <v>228</v>
      </c>
      <c r="B45" s="552"/>
      <c r="C45" s="115" t="s">
        <v>326</v>
      </c>
      <c r="D45" s="121">
        <v>3961110</v>
      </c>
      <c r="E45" s="121">
        <v>4104474.92</v>
      </c>
      <c r="F45" s="121">
        <v>5277756.06</v>
      </c>
      <c r="G45" s="121">
        <f>(3583932.84/7*12)</f>
        <v>6143884.868571429</v>
      </c>
      <c r="H45" s="55">
        <f>(((E45*(1+Parâmetros!B11)*(1+Parâmetros!C11)*(1+Parâmetros!D11))+(F45*(1+Parâmetros!C11)*(1+Parâmetros!D11)+(G45*(1+Parâmetros!D11))))/3)*(1+Parâmetros!E11)*(1+Parâmetros!E18)</f>
        <v>6225401.4321473045</v>
      </c>
      <c r="I45" s="116">
        <f>H45*(1+Parâmetros!F11)*(1+Parâmetros!F18)</f>
        <v>6449515.883704607</v>
      </c>
      <c r="J45" s="116">
        <f>I45*(1+Parâmetros!G11)*(1+Parâmetros!G18)</f>
        <v>6675248.939634268</v>
      </c>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c r="IT45" s="51"/>
      <c r="IU45" s="51"/>
      <c r="IV45" s="51"/>
    </row>
    <row r="46" spans="1:256" s="50" customFormat="1" ht="14.25" customHeight="1">
      <c r="A46" s="552" t="s">
        <v>228</v>
      </c>
      <c r="B46" s="552"/>
      <c r="C46" s="115" t="s">
        <v>232</v>
      </c>
      <c r="D46" s="121">
        <v>0</v>
      </c>
      <c r="E46" s="121">
        <v>0</v>
      </c>
      <c r="F46" s="121">
        <v>0</v>
      </c>
      <c r="G46" s="121">
        <v>0</v>
      </c>
      <c r="H46" s="55">
        <f>((E46+F46+G46)/3)*(1+Parâmetros!E11)</f>
        <v>0</v>
      </c>
      <c r="I46" s="55">
        <f>((F46+G46+H46)/3)*(1+Parâmetros!F11)</f>
        <v>0</v>
      </c>
      <c r="J46" s="55">
        <f>((G46+H46+I46)/3)*(1+Parâmetros!G11)</f>
        <v>0</v>
      </c>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c r="IU46" s="51"/>
      <c r="IV46" s="51"/>
    </row>
    <row r="47" spans="1:256" s="118" customFormat="1" ht="14.25" customHeight="1">
      <c r="A47" s="552" t="s">
        <v>233</v>
      </c>
      <c r="B47" s="552"/>
      <c r="C47" s="115" t="s">
        <v>234</v>
      </c>
      <c r="D47" s="121">
        <f>(3154.46+17349.43)</f>
        <v>20503.89</v>
      </c>
      <c r="E47" s="121">
        <f>(3154.43+14787.45)</f>
        <v>17941.88</v>
      </c>
      <c r="F47" s="121">
        <v>0</v>
      </c>
      <c r="G47" s="121">
        <v>0</v>
      </c>
      <c r="H47" s="55">
        <f>((E47+F47+G47)/3)*(1+Parâmetros!E11)</f>
        <v>6215.067231999999</v>
      </c>
      <c r="I47" s="116">
        <f>((F47+G47+H47)/3)*(1+Parâmetros!F11)</f>
        <v>2146.269884117333</v>
      </c>
      <c r="J47" s="116">
        <f>((G47+H47+I47)/3)*(1+Parâmetros!G11)</f>
        <v>2884.6613050604797</v>
      </c>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19"/>
      <c r="IP47" s="119"/>
      <c r="IQ47" s="119"/>
      <c r="IR47" s="119"/>
      <c r="IS47" s="119"/>
      <c r="IT47" s="119"/>
      <c r="IU47" s="119"/>
      <c r="IV47" s="119"/>
    </row>
    <row r="48" spans="1:256" s="56" customFormat="1" ht="15.75">
      <c r="A48" s="551" t="s">
        <v>235</v>
      </c>
      <c r="B48" s="551"/>
      <c r="C48" s="111" t="s">
        <v>236</v>
      </c>
      <c r="D48" s="113">
        <f aca="true" t="shared" si="10" ref="D48:J48">SUM(D49:D51)</f>
        <v>0</v>
      </c>
      <c r="E48" s="113">
        <f t="shared" si="10"/>
        <v>0</v>
      </c>
      <c r="F48" s="113">
        <f t="shared" si="10"/>
        <v>0</v>
      </c>
      <c r="G48" s="113">
        <f t="shared" si="10"/>
        <v>0</v>
      </c>
      <c r="H48" s="113">
        <f t="shared" si="10"/>
        <v>0</v>
      </c>
      <c r="I48" s="113">
        <f t="shared" si="10"/>
        <v>0</v>
      </c>
      <c r="J48" s="113">
        <f t="shared" si="10"/>
        <v>0</v>
      </c>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0"/>
      <c r="IP48" s="120"/>
      <c r="IQ48" s="120"/>
      <c r="IR48" s="120"/>
      <c r="IS48" s="120"/>
      <c r="IT48" s="120"/>
      <c r="IU48" s="120"/>
      <c r="IV48" s="120"/>
    </row>
    <row r="49" spans="1:256" s="56" customFormat="1" ht="15">
      <c r="A49" s="552" t="s">
        <v>235</v>
      </c>
      <c r="B49" s="552"/>
      <c r="C49" s="115" t="s">
        <v>327</v>
      </c>
      <c r="D49" s="121"/>
      <c r="E49" s="121">
        <v>0</v>
      </c>
      <c r="F49" s="121">
        <v>0</v>
      </c>
      <c r="G49" s="121">
        <v>0</v>
      </c>
      <c r="H49" s="55">
        <f>(((E49*(1+Parâmetros!B11)*(1+Parâmetros!C11)*(1+Parâmetros!D11))+(F49*(1+Parâmetros!C11)*(1+Parâmetros!D11)+(G49*(1+Parâmetros!D11))))/3)*(1+Parâmetros!E21)</f>
        <v>0</v>
      </c>
      <c r="I49" s="116">
        <f>H49*(1+Parâmetros!F21)</f>
        <v>0</v>
      </c>
      <c r="J49" s="116">
        <f>I49*(1+Parâmetros!G21)</f>
        <v>0</v>
      </c>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56" customFormat="1" ht="15.75">
      <c r="A50" s="552" t="s">
        <v>235</v>
      </c>
      <c r="B50" s="552"/>
      <c r="C50" s="115" t="s">
        <v>239</v>
      </c>
      <c r="D50" s="121">
        <v>0</v>
      </c>
      <c r="E50" s="121">
        <v>0</v>
      </c>
      <c r="F50" s="121">
        <v>0</v>
      </c>
      <c r="G50" s="121">
        <v>0</v>
      </c>
      <c r="H50" s="55">
        <f>((E50+F50+G50)/3)*(1+Parâmetros!E11)</f>
        <v>0</v>
      </c>
      <c r="I50" s="55">
        <f>((F50+G50+H50)/3)*(1+Parâmetros!F11)</f>
        <v>0</v>
      </c>
      <c r="J50" s="55">
        <f>((G50+H50+I50)/3)*(1+Parâmetros!G11)</f>
        <v>0</v>
      </c>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56" customFormat="1" ht="15.75">
      <c r="A51" s="552" t="s">
        <v>240</v>
      </c>
      <c r="B51" s="552"/>
      <c r="C51" s="115" t="s">
        <v>241</v>
      </c>
      <c r="D51" s="121">
        <v>0</v>
      </c>
      <c r="E51" s="121">
        <v>0</v>
      </c>
      <c r="F51" s="121">
        <v>0</v>
      </c>
      <c r="G51" s="121">
        <v>0</v>
      </c>
      <c r="H51" s="55">
        <f>((E51+F51+G51)/3)*(1+Parâmetros!E11)</f>
        <v>0</v>
      </c>
      <c r="I51" s="55">
        <f>((F51+G51+H51)/3)*(1+Parâmetros!F11)</f>
        <v>0</v>
      </c>
      <c r="J51" s="55">
        <f>((G51+H51+I51)/3)*(1+Parâmetros!G11)</f>
        <v>0</v>
      </c>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50" customFormat="1" ht="15.75">
      <c r="A52" s="551" t="s">
        <v>242</v>
      </c>
      <c r="B52" s="551"/>
      <c r="C52" s="111" t="s">
        <v>243</v>
      </c>
      <c r="D52" s="113">
        <f aca="true" t="shared" si="11" ref="D52:J52">SUM(D53:D55)</f>
        <v>377454.52</v>
      </c>
      <c r="E52" s="113">
        <f t="shared" si="11"/>
        <v>71478.39</v>
      </c>
      <c r="F52" s="113">
        <f t="shared" si="11"/>
        <v>100248.28</v>
      </c>
      <c r="G52" s="113">
        <f t="shared" si="11"/>
        <v>72717.45</v>
      </c>
      <c r="H52" s="113">
        <f t="shared" si="11"/>
        <v>99087.41999173266</v>
      </c>
      <c r="I52" s="113">
        <f t="shared" si="11"/>
        <v>108721.2988691431</v>
      </c>
      <c r="J52" s="113">
        <f t="shared" si="11"/>
        <v>111465.22512039184</v>
      </c>
      <c r="FW52" s="114"/>
      <c r="FX52" s="114"/>
      <c r="FY52" s="114"/>
      <c r="FZ52" s="114"/>
      <c r="GA52" s="114"/>
      <c r="GB52" s="114"/>
      <c r="GC52" s="114"/>
      <c r="GD52" s="114"/>
      <c r="GE52" s="114"/>
      <c r="GF52" s="114"/>
      <c r="GG52" s="114"/>
      <c r="GH52" s="114"/>
      <c r="GI52" s="114"/>
      <c r="GJ52" s="114"/>
      <c r="GK52" s="114"/>
      <c r="GL52" s="114"/>
      <c r="GM52" s="114"/>
      <c r="GN52" s="114"/>
      <c r="GO52" s="114"/>
      <c r="GP52" s="114"/>
      <c r="GQ52" s="114"/>
      <c r="GR52" s="114"/>
      <c r="GS52" s="114"/>
      <c r="GT52" s="114"/>
      <c r="GU52" s="114"/>
      <c r="GV52" s="114"/>
      <c r="GW52" s="114"/>
      <c r="GX52" s="114"/>
      <c r="GY52" s="114"/>
      <c r="GZ52" s="114"/>
      <c r="HA52" s="114"/>
      <c r="HB52" s="114"/>
      <c r="HC52" s="114"/>
      <c r="HD52" s="114"/>
      <c r="HE52" s="114"/>
      <c r="HF52" s="114"/>
      <c r="HG52" s="114"/>
      <c r="HH52" s="114"/>
      <c r="HI52" s="114"/>
      <c r="HJ52" s="114"/>
      <c r="HK52" s="114"/>
      <c r="HL52" s="114"/>
      <c r="HM52" s="114"/>
      <c r="HN52" s="114"/>
      <c r="HO52" s="114"/>
      <c r="HP52" s="114"/>
      <c r="HQ52" s="114"/>
      <c r="HR52" s="114"/>
      <c r="HS52" s="114"/>
      <c r="HT52" s="114"/>
      <c r="HU52" s="114"/>
      <c r="HV52" s="114"/>
      <c r="HW52" s="114"/>
      <c r="HX52" s="114"/>
      <c r="HY52" s="114"/>
      <c r="HZ52" s="114"/>
      <c r="IA52" s="114"/>
      <c r="IB52" s="114"/>
      <c r="IC52" s="114"/>
      <c r="ID52" s="114"/>
      <c r="IE52" s="114"/>
      <c r="IF52" s="114"/>
      <c r="IG52" s="114"/>
      <c r="IH52" s="114"/>
      <c r="II52" s="114"/>
      <c r="IJ52" s="114"/>
      <c r="IK52" s="114"/>
      <c r="IL52" s="114"/>
      <c r="IM52" s="114"/>
      <c r="IN52" s="114"/>
      <c r="IO52" s="114"/>
      <c r="IP52" s="114"/>
      <c r="IQ52" s="114"/>
      <c r="IR52" s="114"/>
      <c r="IS52" s="114"/>
      <c r="IT52" s="114"/>
      <c r="IU52" s="114"/>
      <c r="IV52" s="114"/>
    </row>
    <row r="53" spans="1:256" s="50" customFormat="1" ht="15">
      <c r="A53" s="552" t="s">
        <v>242</v>
      </c>
      <c r="B53" s="552"/>
      <c r="C53" s="115" t="s">
        <v>328</v>
      </c>
      <c r="D53" s="121">
        <v>150041.23</v>
      </c>
      <c r="E53" s="121">
        <v>62088.39</v>
      </c>
      <c r="F53" s="121">
        <v>81653.02</v>
      </c>
      <c r="G53" s="121">
        <f>(37652.64+27262.65+2838.6)</f>
        <v>67753.89</v>
      </c>
      <c r="H53" s="55">
        <f>(((E53*(1+Parâmetros!B11)*(1+Parâmetros!C11)*(1+Parâmetros!D11))+(F53*(1+Parâmetros!C11)*(1+Parâmetros!D11)+(G53*(1+Parâmetros!D11))))/3)*(1+Parâmetros!E11)*(1+Parâmetros!E14)</f>
        <v>87673.94874373266</v>
      </c>
      <c r="I53" s="116">
        <f>H53*(1+Parâmetros!F11)*(1+Parâmetros!F14)</f>
        <v>96644.20095816709</v>
      </c>
      <c r="J53" s="116">
        <f>I53*(1+Parâmetros!G11)*(1+Parâmetros!G14)</f>
        <v>101648.55056054512</v>
      </c>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51"/>
      <c r="IO53" s="51"/>
      <c r="IP53" s="51"/>
      <c r="IQ53" s="51"/>
      <c r="IR53" s="51"/>
      <c r="IS53" s="51"/>
      <c r="IT53" s="51"/>
      <c r="IU53" s="51"/>
      <c r="IV53" s="51"/>
    </row>
    <row r="54" spans="1:256" s="50" customFormat="1" ht="15.75">
      <c r="A54" s="552" t="s">
        <v>242</v>
      </c>
      <c r="B54" s="552"/>
      <c r="C54" s="115" t="s">
        <v>246</v>
      </c>
      <c r="D54" s="121">
        <f>(580+8700)</f>
        <v>9280</v>
      </c>
      <c r="E54" s="121">
        <v>9390</v>
      </c>
      <c r="F54" s="121">
        <v>18595.26</v>
      </c>
      <c r="G54" s="121">
        <v>4963.56</v>
      </c>
      <c r="H54" s="55">
        <f>((E54+F54+G54)/3)*(1+Parâmetros!E11)</f>
        <v>11413.471248</v>
      </c>
      <c r="I54" s="55">
        <f>((F54+G54+H54)/3)*(1+Parâmetros!F11)</f>
        <v>12077.097910976001</v>
      </c>
      <c r="J54" s="55">
        <f>((G54+H54+I54)/3)*(1+Parâmetros!G11)</f>
        <v>9816.67455984672</v>
      </c>
      <c r="FW54" s="51"/>
      <c r="FX54" s="51"/>
      <c r="FY54" s="51"/>
      <c r="FZ54" s="51"/>
      <c r="GA54" s="51"/>
      <c r="GB54" s="51"/>
      <c r="GC54" s="51"/>
      <c r="GD54" s="51"/>
      <c r="GE54" s="51"/>
      <c r="GF54" s="51"/>
      <c r="GG54" s="51"/>
      <c r="GH54" s="51"/>
      <c r="GI54" s="51"/>
      <c r="GJ54" s="51"/>
      <c r="GK54" s="51"/>
      <c r="GL54" s="51"/>
      <c r="GM54" s="51"/>
      <c r="GN54" s="51"/>
      <c r="GO54" s="51"/>
      <c r="GP54" s="51"/>
      <c r="GQ54" s="51"/>
      <c r="GR54" s="51"/>
      <c r="GS54" s="51"/>
      <c r="GT54" s="51"/>
      <c r="GU54" s="51"/>
      <c r="GV54" s="51"/>
      <c r="GW54" s="51"/>
      <c r="GX54" s="51"/>
      <c r="GY54" s="51"/>
      <c r="GZ54" s="51"/>
      <c r="HA54" s="51"/>
      <c r="HB54" s="51"/>
      <c r="HC54" s="51"/>
      <c r="HD54" s="51"/>
      <c r="HE54" s="51"/>
      <c r="HF54" s="51"/>
      <c r="HG54" s="51"/>
      <c r="HH54" s="51"/>
      <c r="HI54" s="51"/>
      <c r="HJ54" s="51"/>
      <c r="HK54" s="51"/>
      <c r="HL54" s="51"/>
      <c r="HM54" s="51"/>
      <c r="HN54" s="51"/>
      <c r="HO54" s="51"/>
      <c r="HP54" s="51"/>
      <c r="HQ54" s="51"/>
      <c r="HR54" s="51"/>
      <c r="HS54" s="51"/>
      <c r="HT54" s="51"/>
      <c r="HU54" s="51"/>
      <c r="HV54" s="51"/>
      <c r="HW54" s="51"/>
      <c r="HX54" s="51"/>
      <c r="HY54" s="51"/>
      <c r="HZ54" s="51"/>
      <c r="IA54" s="51"/>
      <c r="IB54" s="51"/>
      <c r="IC54" s="51"/>
      <c r="ID54" s="51"/>
      <c r="IE54" s="51"/>
      <c r="IF54" s="51"/>
      <c r="IG54" s="51"/>
      <c r="IH54" s="51"/>
      <c r="II54" s="51"/>
      <c r="IJ54" s="51"/>
      <c r="IK54" s="51"/>
      <c r="IL54" s="51"/>
      <c r="IM54" s="51"/>
      <c r="IN54" s="51"/>
      <c r="IO54" s="51"/>
      <c r="IP54" s="51"/>
      <c r="IQ54" s="51"/>
      <c r="IR54" s="51"/>
      <c r="IS54" s="51"/>
      <c r="IT54" s="51"/>
      <c r="IU54" s="51"/>
      <c r="IV54" s="51"/>
    </row>
    <row r="55" spans="1:256" s="50" customFormat="1" ht="15.75">
      <c r="A55" s="552" t="s">
        <v>247</v>
      </c>
      <c r="B55" s="552"/>
      <c r="C55" s="115" t="s">
        <v>248</v>
      </c>
      <c r="D55" s="121">
        <v>218133.29</v>
      </c>
      <c r="E55" s="121">
        <v>0</v>
      </c>
      <c r="F55" s="121">
        <v>0</v>
      </c>
      <c r="G55" s="121">
        <v>0</v>
      </c>
      <c r="H55" s="55">
        <f>((E55+F55+G55)/3)*(1+Parâmetros!E11)</f>
        <v>0</v>
      </c>
      <c r="I55" s="55">
        <f>((F55+G55+H55)/3)*(1+Parâmetros!F11)</f>
        <v>0</v>
      </c>
      <c r="J55" s="55">
        <f>((G55+H55+I55)/3)*(1+Parâmetros!G11)</f>
        <v>0</v>
      </c>
      <c r="FW55" s="51"/>
      <c r="FX55" s="51"/>
      <c r="FY55" s="51"/>
      <c r="FZ55" s="51"/>
      <c r="GA55" s="51"/>
      <c r="GB55" s="51"/>
      <c r="GC55" s="51"/>
      <c r="GD55" s="51"/>
      <c r="GE55" s="51"/>
      <c r="GF55" s="51"/>
      <c r="GG55" s="51"/>
      <c r="GH55" s="51"/>
      <c r="GI55" s="51"/>
      <c r="GJ55" s="51"/>
      <c r="GK55" s="51"/>
      <c r="GL55" s="51"/>
      <c r="GM55" s="51"/>
      <c r="GN55" s="51"/>
      <c r="GO55" s="51"/>
      <c r="GP55" s="51"/>
      <c r="GQ55" s="51"/>
      <c r="GR55" s="51"/>
      <c r="GS55" s="51"/>
      <c r="GT55" s="51"/>
      <c r="GU55" s="51"/>
      <c r="GV55" s="51"/>
      <c r="GW55" s="51"/>
      <c r="GX55" s="51"/>
      <c r="GY55" s="51"/>
      <c r="GZ55" s="51"/>
      <c r="HA55" s="51"/>
      <c r="HB55" s="51"/>
      <c r="HC55" s="51"/>
      <c r="HD55" s="51"/>
      <c r="HE55" s="51"/>
      <c r="HF55" s="51"/>
      <c r="HG55" s="51"/>
      <c r="HH55" s="51"/>
      <c r="HI55" s="51"/>
      <c r="HJ55" s="51"/>
      <c r="HK55" s="51"/>
      <c r="HL55" s="51"/>
      <c r="HM55" s="51"/>
      <c r="HN55" s="51"/>
      <c r="HO55" s="51"/>
      <c r="HP55" s="51"/>
      <c r="HQ55" s="51"/>
      <c r="HR55" s="51"/>
      <c r="HS55" s="51"/>
      <c r="HT55" s="51"/>
      <c r="HU55" s="51"/>
      <c r="HV55" s="51"/>
      <c r="HW55" s="51"/>
      <c r="HX55" s="51"/>
      <c r="HY55" s="51"/>
      <c r="HZ55" s="51"/>
      <c r="IA55" s="51"/>
      <c r="IB55" s="51"/>
      <c r="IC55" s="51"/>
      <c r="ID55" s="51"/>
      <c r="IE55" s="51"/>
      <c r="IF55" s="51"/>
      <c r="IG55" s="51"/>
      <c r="IH55" s="51"/>
      <c r="II55" s="51"/>
      <c r="IJ55" s="51"/>
      <c r="IK55" s="51"/>
      <c r="IL55" s="51"/>
      <c r="IM55" s="51"/>
      <c r="IN55" s="51"/>
      <c r="IO55" s="51"/>
      <c r="IP55" s="51"/>
      <c r="IQ55" s="51"/>
      <c r="IR55" s="51"/>
      <c r="IS55" s="51"/>
      <c r="IT55" s="51"/>
      <c r="IU55" s="51"/>
      <c r="IV55" s="51"/>
    </row>
    <row r="56" spans="1:256" s="50" customFormat="1" ht="15.75">
      <c r="A56" s="551" t="s">
        <v>249</v>
      </c>
      <c r="B56" s="551"/>
      <c r="C56" s="111" t="s">
        <v>250</v>
      </c>
      <c r="D56" s="113">
        <f aca="true" t="shared" si="12" ref="D56:J56">D57+D61+D65</f>
        <v>0</v>
      </c>
      <c r="E56" s="113">
        <f t="shared" si="12"/>
        <v>0</v>
      </c>
      <c r="F56" s="113">
        <f t="shared" si="12"/>
        <v>0</v>
      </c>
      <c r="G56" s="113">
        <f t="shared" si="12"/>
        <v>0</v>
      </c>
      <c r="H56" s="113">
        <f t="shared" si="12"/>
        <v>0</v>
      </c>
      <c r="I56" s="113">
        <f t="shared" si="12"/>
        <v>0</v>
      </c>
      <c r="J56" s="113">
        <f t="shared" si="12"/>
        <v>0</v>
      </c>
      <c r="FW56" s="114"/>
      <c r="FX56" s="114"/>
      <c r="FY56" s="114"/>
      <c r="FZ56" s="114"/>
      <c r="GA56" s="114"/>
      <c r="GB56" s="114"/>
      <c r="GC56" s="114"/>
      <c r="GD56" s="114"/>
      <c r="GE56" s="114"/>
      <c r="GF56" s="114"/>
      <c r="GG56" s="114"/>
      <c r="GH56" s="114"/>
      <c r="GI56" s="114"/>
      <c r="GJ56" s="114"/>
      <c r="GK56" s="114"/>
      <c r="GL56" s="114"/>
      <c r="GM56" s="114"/>
      <c r="GN56" s="114"/>
      <c r="GO56" s="114"/>
      <c r="GP56" s="114"/>
      <c r="GQ56" s="114"/>
      <c r="GR56" s="114"/>
      <c r="GS56" s="114"/>
      <c r="GT56" s="114"/>
      <c r="GU56" s="114"/>
      <c r="GV56" s="114"/>
      <c r="GW56" s="114"/>
      <c r="GX56" s="114"/>
      <c r="GY56" s="114"/>
      <c r="GZ56" s="114"/>
      <c r="HA56" s="114"/>
      <c r="HB56" s="114"/>
      <c r="HC56" s="114"/>
      <c r="HD56" s="114"/>
      <c r="HE56" s="114"/>
      <c r="HF56" s="114"/>
      <c r="HG56" s="114"/>
      <c r="HH56" s="114"/>
      <c r="HI56" s="114"/>
      <c r="HJ56" s="114"/>
      <c r="HK56" s="114"/>
      <c r="HL56" s="114"/>
      <c r="HM56" s="114"/>
      <c r="HN56" s="114"/>
      <c r="HO56" s="114"/>
      <c r="HP56" s="114"/>
      <c r="HQ56" s="114"/>
      <c r="HR56" s="114"/>
      <c r="HS56" s="114"/>
      <c r="HT56" s="114"/>
      <c r="HU56" s="114"/>
      <c r="HV56" s="114"/>
      <c r="HW56" s="114"/>
      <c r="HX56" s="114"/>
      <c r="HY56" s="114"/>
      <c r="HZ56" s="114"/>
      <c r="IA56" s="114"/>
      <c r="IB56" s="114"/>
      <c r="IC56" s="114"/>
      <c r="ID56" s="114"/>
      <c r="IE56" s="114"/>
      <c r="IF56" s="114"/>
      <c r="IG56" s="114"/>
      <c r="IH56" s="114"/>
      <c r="II56" s="114"/>
      <c r="IJ56" s="114"/>
      <c r="IK56" s="114"/>
      <c r="IL56" s="114"/>
      <c r="IM56" s="114"/>
      <c r="IN56" s="114"/>
      <c r="IO56" s="114"/>
      <c r="IP56" s="114"/>
      <c r="IQ56" s="114"/>
      <c r="IR56" s="114"/>
      <c r="IS56" s="114"/>
      <c r="IT56" s="114"/>
      <c r="IU56" s="114"/>
      <c r="IV56" s="114"/>
    </row>
    <row r="57" spans="1:256" s="50" customFormat="1" ht="15.75">
      <c r="A57" s="551" t="s">
        <v>251</v>
      </c>
      <c r="B57" s="551"/>
      <c r="C57" s="111" t="s">
        <v>252</v>
      </c>
      <c r="D57" s="113">
        <f aca="true" t="shared" si="13" ref="D57:J57">SUM(D58:D60)</f>
        <v>0</v>
      </c>
      <c r="E57" s="113">
        <f t="shared" si="13"/>
        <v>0</v>
      </c>
      <c r="F57" s="113">
        <f t="shared" si="13"/>
        <v>0</v>
      </c>
      <c r="G57" s="113">
        <f t="shared" si="13"/>
        <v>0</v>
      </c>
      <c r="H57" s="113">
        <f t="shared" si="13"/>
        <v>0</v>
      </c>
      <c r="I57" s="113">
        <f t="shared" si="13"/>
        <v>0</v>
      </c>
      <c r="J57" s="113">
        <f t="shared" si="13"/>
        <v>0</v>
      </c>
      <c r="FW57" s="114"/>
      <c r="FX57" s="114"/>
      <c r="FY57" s="114"/>
      <c r="FZ57" s="114"/>
      <c r="GA57" s="114"/>
      <c r="GB57" s="114"/>
      <c r="GC57" s="114"/>
      <c r="GD57" s="114"/>
      <c r="GE57" s="114"/>
      <c r="GF57" s="114"/>
      <c r="GG57" s="114"/>
      <c r="GH57" s="114"/>
      <c r="GI57" s="114"/>
      <c r="GJ57" s="114"/>
      <c r="GK57" s="114"/>
      <c r="GL57" s="114"/>
      <c r="GM57" s="114"/>
      <c r="GN57" s="114"/>
      <c r="GO57" s="114"/>
      <c r="GP57" s="114"/>
      <c r="GQ57" s="114"/>
      <c r="GR57" s="114"/>
      <c r="GS57" s="114"/>
      <c r="GT57" s="114"/>
      <c r="GU57" s="114"/>
      <c r="GV57" s="114"/>
      <c r="GW57" s="114"/>
      <c r="GX57" s="114"/>
      <c r="GY57" s="114"/>
      <c r="GZ57" s="114"/>
      <c r="HA57" s="114"/>
      <c r="HB57" s="114"/>
      <c r="HC57" s="114"/>
      <c r="HD57" s="114"/>
      <c r="HE57" s="114"/>
      <c r="HF57" s="114"/>
      <c r="HG57" s="114"/>
      <c r="HH57" s="114"/>
      <c r="HI57" s="114"/>
      <c r="HJ57" s="114"/>
      <c r="HK57" s="114"/>
      <c r="HL57" s="114"/>
      <c r="HM57" s="114"/>
      <c r="HN57" s="114"/>
      <c r="HO57" s="114"/>
      <c r="HP57" s="114"/>
      <c r="HQ57" s="114"/>
      <c r="HR57" s="114"/>
      <c r="HS57" s="114"/>
      <c r="HT57" s="114"/>
      <c r="HU57" s="114"/>
      <c r="HV57" s="114"/>
      <c r="HW57" s="114"/>
      <c r="HX57" s="114"/>
      <c r="HY57" s="114"/>
      <c r="HZ57" s="114"/>
      <c r="IA57" s="114"/>
      <c r="IB57" s="114"/>
      <c r="IC57" s="114"/>
      <c r="ID57" s="114"/>
      <c r="IE57" s="114"/>
      <c r="IF57" s="114"/>
      <c r="IG57" s="114"/>
      <c r="IH57" s="114"/>
      <c r="II57" s="114"/>
      <c r="IJ57" s="114"/>
      <c r="IK57" s="114"/>
      <c r="IL57" s="114"/>
      <c r="IM57" s="114"/>
      <c r="IN57" s="114"/>
      <c r="IO57" s="114"/>
      <c r="IP57" s="114"/>
      <c r="IQ57" s="114"/>
      <c r="IR57" s="114"/>
      <c r="IS57" s="114"/>
      <c r="IT57" s="114"/>
      <c r="IU57" s="114"/>
      <c r="IV57" s="114"/>
    </row>
    <row r="58" spans="1:256" s="50" customFormat="1" ht="15">
      <c r="A58" s="552" t="s">
        <v>251</v>
      </c>
      <c r="B58" s="552"/>
      <c r="C58" s="115" t="s">
        <v>329</v>
      </c>
      <c r="D58" s="121">
        <v>0</v>
      </c>
      <c r="E58" s="121">
        <v>0</v>
      </c>
      <c r="F58" s="121">
        <v>0</v>
      </c>
      <c r="G58" s="121"/>
      <c r="H58" s="55">
        <f>(((E58*(1+Parâmetros!B11)*(1+Parâmetros!C11)*(1+Parâmetros!D11))+(F58*(1+Parâmetros!C11)*(1+Parâmetros!D11)+(G58*(1+Parâmetros!D11))))/3)*(1+Parâmetros!E11)*(1+Parâmetros!E20)</f>
        <v>0</v>
      </c>
      <c r="I58" s="116">
        <f>H58*(1+Parâmetros!F11)*(1+Parâmetros!F20)</f>
        <v>0</v>
      </c>
      <c r="J58" s="116">
        <f>I58*(1+Parâmetros!G11)*(1+Parâmetros!G20)</f>
        <v>0</v>
      </c>
      <c r="FW58" s="51"/>
      <c r="FX58" s="51"/>
      <c r="FY58" s="51"/>
      <c r="FZ58" s="51"/>
      <c r="GA58" s="51"/>
      <c r="GB58" s="51"/>
      <c r="GC58" s="51"/>
      <c r="GD58" s="51"/>
      <c r="GE58" s="51"/>
      <c r="GF58" s="51"/>
      <c r="GG58" s="51"/>
      <c r="GH58" s="51"/>
      <c r="GI58" s="51"/>
      <c r="GJ58" s="51"/>
      <c r="GK58" s="51"/>
      <c r="GL58" s="51"/>
      <c r="GM58" s="51"/>
      <c r="GN58" s="51"/>
      <c r="GO58" s="51"/>
      <c r="GP58" s="51"/>
      <c r="GQ58" s="51"/>
      <c r="GR58" s="51"/>
      <c r="GS58" s="51"/>
      <c r="GT58" s="51"/>
      <c r="GU58" s="51"/>
      <c r="GV58" s="51"/>
      <c r="GW58" s="51"/>
      <c r="GX58" s="51"/>
      <c r="GY58" s="51"/>
      <c r="GZ58" s="51"/>
      <c r="HA58" s="51"/>
      <c r="HB58" s="51"/>
      <c r="HC58" s="51"/>
      <c r="HD58" s="51"/>
      <c r="HE58" s="51"/>
      <c r="HF58" s="51"/>
      <c r="HG58" s="51"/>
      <c r="HH58" s="51"/>
      <c r="HI58" s="51"/>
      <c r="HJ58" s="51"/>
      <c r="HK58" s="51"/>
      <c r="HL58" s="51"/>
      <c r="HM58" s="51"/>
      <c r="HN58" s="51"/>
      <c r="HO58" s="51"/>
      <c r="HP58" s="51"/>
      <c r="HQ58" s="51"/>
      <c r="HR58" s="51"/>
      <c r="HS58" s="51"/>
      <c r="HT58" s="51"/>
      <c r="HU58" s="51"/>
      <c r="HV58" s="51"/>
      <c r="HW58" s="51"/>
      <c r="HX58" s="51"/>
      <c r="HY58" s="51"/>
      <c r="HZ58" s="51"/>
      <c r="IA58" s="51"/>
      <c r="IB58" s="51"/>
      <c r="IC58" s="51"/>
      <c r="ID58" s="51"/>
      <c r="IE58" s="51"/>
      <c r="IF58" s="51"/>
      <c r="IG58" s="51"/>
      <c r="IH58" s="51"/>
      <c r="II58" s="51"/>
      <c r="IJ58" s="51"/>
      <c r="IK58" s="51"/>
      <c r="IL58" s="51"/>
      <c r="IM58" s="51"/>
      <c r="IN58" s="51"/>
      <c r="IO58" s="51"/>
      <c r="IP58" s="51"/>
      <c r="IQ58" s="51"/>
      <c r="IR58" s="51"/>
      <c r="IS58" s="51"/>
      <c r="IT58" s="51"/>
      <c r="IU58" s="51"/>
      <c r="IV58" s="51"/>
    </row>
    <row r="59" spans="1:256" s="50" customFormat="1" ht="15.75">
      <c r="A59" s="552" t="s">
        <v>255</v>
      </c>
      <c r="B59" s="552"/>
      <c r="C59" s="115" t="s">
        <v>256</v>
      </c>
      <c r="D59" s="121">
        <v>0</v>
      </c>
      <c r="E59" s="121">
        <v>0</v>
      </c>
      <c r="F59" s="121">
        <v>0</v>
      </c>
      <c r="G59" s="121">
        <v>0</v>
      </c>
      <c r="H59" s="55">
        <f>((E59+F59+G59)/3)*(1+Parâmetros!E11)</f>
        <v>0</v>
      </c>
      <c r="I59" s="55">
        <f>((F59+G59+H59)/3)*(1+Parâmetros!F11)</f>
        <v>0</v>
      </c>
      <c r="J59" s="55">
        <f>((G59+H59+I59)/3)*(1+Parâmetros!G11)</f>
        <v>0</v>
      </c>
      <c r="FW59" s="51"/>
      <c r="FX59" s="51"/>
      <c r="FY59" s="51"/>
      <c r="FZ59" s="51"/>
      <c r="GA59" s="51"/>
      <c r="GB59" s="51"/>
      <c r="GC59" s="51"/>
      <c r="GD59" s="51"/>
      <c r="GE59" s="51"/>
      <c r="GF59" s="51"/>
      <c r="GG59" s="51"/>
      <c r="GH59" s="51"/>
      <c r="GI59" s="51"/>
      <c r="GJ59" s="51"/>
      <c r="GK59" s="51"/>
      <c r="GL59" s="51"/>
      <c r="GM59" s="51"/>
      <c r="GN59" s="51"/>
      <c r="GO59" s="51"/>
      <c r="GP59" s="51"/>
      <c r="GQ59" s="51"/>
      <c r="GR59" s="51"/>
      <c r="GS59" s="51"/>
      <c r="GT59" s="51"/>
      <c r="GU59" s="51"/>
      <c r="GV59" s="51"/>
      <c r="GW59" s="51"/>
      <c r="GX59" s="51"/>
      <c r="GY59" s="51"/>
      <c r="GZ59" s="51"/>
      <c r="HA59" s="51"/>
      <c r="HB59" s="51"/>
      <c r="HC59" s="51"/>
      <c r="HD59" s="51"/>
      <c r="HE59" s="51"/>
      <c r="HF59" s="51"/>
      <c r="HG59" s="51"/>
      <c r="HH59" s="51"/>
      <c r="HI59" s="51"/>
      <c r="HJ59" s="51"/>
      <c r="HK59" s="51"/>
      <c r="HL59" s="51"/>
      <c r="HM59" s="51"/>
      <c r="HN59" s="51"/>
      <c r="HO59" s="51"/>
      <c r="HP59" s="51"/>
      <c r="HQ59" s="51"/>
      <c r="HR59" s="51"/>
      <c r="HS59" s="51"/>
      <c r="HT59" s="51"/>
      <c r="HU59" s="51"/>
      <c r="HV59" s="51"/>
      <c r="HW59" s="51"/>
      <c r="HX59" s="51"/>
      <c r="HY59" s="51"/>
      <c r="HZ59" s="51"/>
      <c r="IA59" s="51"/>
      <c r="IB59" s="51"/>
      <c r="IC59" s="51"/>
      <c r="ID59" s="51"/>
      <c r="IE59" s="51"/>
      <c r="IF59" s="51"/>
      <c r="IG59" s="51"/>
      <c r="IH59" s="51"/>
      <c r="II59" s="51"/>
      <c r="IJ59" s="51"/>
      <c r="IK59" s="51"/>
      <c r="IL59" s="51"/>
      <c r="IM59" s="51"/>
      <c r="IN59" s="51"/>
      <c r="IO59" s="51"/>
      <c r="IP59" s="51"/>
      <c r="IQ59" s="51"/>
      <c r="IR59" s="51"/>
      <c r="IS59" s="51"/>
      <c r="IT59" s="51"/>
      <c r="IU59" s="51"/>
      <c r="IV59" s="51"/>
    </row>
    <row r="60" spans="1:256" s="50" customFormat="1" ht="15.75">
      <c r="A60" s="552" t="s">
        <v>255</v>
      </c>
      <c r="B60" s="552"/>
      <c r="C60" s="115" t="s">
        <v>257</v>
      </c>
      <c r="D60" s="121">
        <v>0</v>
      </c>
      <c r="E60" s="121">
        <v>0</v>
      </c>
      <c r="F60" s="121">
        <v>0</v>
      </c>
      <c r="G60" s="121">
        <v>0</v>
      </c>
      <c r="H60" s="55">
        <f>((E60+F60+G60)/3)*(1+Parâmetros!E11)</f>
        <v>0</v>
      </c>
      <c r="I60" s="55">
        <f>((F60+G60+H60)/3)*(1+Parâmetros!F11)</f>
        <v>0</v>
      </c>
      <c r="J60" s="55">
        <f>((G60+H60+I60)/3)*(1+Parâmetros!G11)</f>
        <v>0</v>
      </c>
      <c r="FW60" s="51"/>
      <c r="FX60" s="51"/>
      <c r="FY60" s="51"/>
      <c r="FZ60" s="51"/>
      <c r="GA60" s="51"/>
      <c r="GB60" s="51"/>
      <c r="GC60" s="51"/>
      <c r="GD60" s="51"/>
      <c r="GE60" s="51"/>
      <c r="GF60" s="51"/>
      <c r="GG60" s="51"/>
      <c r="GH60" s="51"/>
      <c r="GI60" s="51"/>
      <c r="GJ60" s="51"/>
      <c r="GK60" s="51"/>
      <c r="GL60" s="51"/>
      <c r="GM60" s="51"/>
      <c r="GN60" s="51"/>
      <c r="GO60" s="51"/>
      <c r="GP60" s="51"/>
      <c r="GQ60" s="51"/>
      <c r="GR60" s="51"/>
      <c r="GS60" s="51"/>
      <c r="GT60" s="51"/>
      <c r="GU60" s="51"/>
      <c r="GV60" s="51"/>
      <c r="GW60" s="51"/>
      <c r="GX60" s="51"/>
      <c r="GY60" s="51"/>
      <c r="GZ60" s="51"/>
      <c r="HA60" s="51"/>
      <c r="HB60" s="51"/>
      <c r="HC60" s="51"/>
      <c r="HD60" s="51"/>
      <c r="HE60" s="51"/>
      <c r="HF60" s="51"/>
      <c r="HG60" s="51"/>
      <c r="HH60" s="51"/>
      <c r="HI60" s="51"/>
      <c r="HJ60" s="51"/>
      <c r="HK60" s="51"/>
      <c r="HL60" s="51"/>
      <c r="HM60" s="51"/>
      <c r="HN60" s="51"/>
      <c r="HO60" s="51"/>
      <c r="HP60" s="51"/>
      <c r="HQ60" s="51"/>
      <c r="HR60" s="51"/>
      <c r="HS60" s="51"/>
      <c r="HT60" s="51"/>
      <c r="HU60" s="51"/>
      <c r="HV60" s="51"/>
      <c r="HW60" s="51"/>
      <c r="HX60" s="51"/>
      <c r="HY60" s="51"/>
      <c r="HZ60" s="51"/>
      <c r="IA60" s="51"/>
      <c r="IB60" s="51"/>
      <c r="IC60" s="51"/>
      <c r="ID60" s="51"/>
      <c r="IE60" s="51"/>
      <c r="IF60" s="51"/>
      <c r="IG60" s="51"/>
      <c r="IH60" s="51"/>
      <c r="II60" s="51"/>
      <c r="IJ60" s="51"/>
      <c r="IK60" s="51"/>
      <c r="IL60" s="51"/>
      <c r="IM60" s="51"/>
      <c r="IN60" s="51"/>
      <c r="IO60" s="51"/>
      <c r="IP60" s="51"/>
      <c r="IQ60" s="51"/>
      <c r="IR60" s="51"/>
      <c r="IS60" s="51"/>
      <c r="IT60" s="51"/>
      <c r="IU60" s="51"/>
      <c r="IV60" s="51"/>
    </row>
    <row r="61" spans="1:256" s="50" customFormat="1" ht="15.75">
      <c r="A61" s="551" t="s">
        <v>258</v>
      </c>
      <c r="B61" s="551"/>
      <c r="C61" s="111" t="s">
        <v>259</v>
      </c>
      <c r="D61" s="113">
        <f aca="true" t="shared" si="14" ref="D61:J61">SUM(D62:D64)</f>
        <v>0</v>
      </c>
      <c r="E61" s="113">
        <f t="shared" si="14"/>
        <v>0</v>
      </c>
      <c r="F61" s="113">
        <f t="shared" si="14"/>
        <v>0</v>
      </c>
      <c r="G61" s="113">
        <f t="shared" si="14"/>
        <v>0</v>
      </c>
      <c r="H61" s="113">
        <f t="shared" si="14"/>
        <v>0</v>
      </c>
      <c r="I61" s="113">
        <f t="shared" si="14"/>
        <v>0</v>
      </c>
      <c r="J61" s="113">
        <f t="shared" si="14"/>
        <v>0</v>
      </c>
      <c r="FW61" s="114"/>
      <c r="FX61" s="114"/>
      <c r="FY61" s="114"/>
      <c r="FZ61" s="114"/>
      <c r="GA61" s="114"/>
      <c r="GB61" s="114"/>
      <c r="GC61" s="114"/>
      <c r="GD61" s="114"/>
      <c r="GE61" s="114"/>
      <c r="GF61" s="114"/>
      <c r="GG61" s="114"/>
      <c r="GH61" s="114"/>
      <c r="GI61" s="114"/>
      <c r="GJ61" s="114"/>
      <c r="GK61" s="114"/>
      <c r="GL61" s="114"/>
      <c r="GM61" s="114"/>
      <c r="GN61" s="114"/>
      <c r="GO61" s="114"/>
      <c r="GP61" s="114"/>
      <c r="GQ61" s="114"/>
      <c r="GR61" s="114"/>
      <c r="GS61" s="114"/>
      <c r="GT61" s="114"/>
      <c r="GU61" s="114"/>
      <c r="GV61" s="114"/>
      <c r="GW61" s="114"/>
      <c r="GX61" s="114"/>
      <c r="GY61" s="114"/>
      <c r="GZ61" s="114"/>
      <c r="HA61" s="114"/>
      <c r="HB61" s="114"/>
      <c r="HC61" s="114"/>
      <c r="HD61" s="114"/>
      <c r="HE61" s="114"/>
      <c r="HF61" s="114"/>
      <c r="HG61" s="114"/>
      <c r="HH61" s="114"/>
      <c r="HI61" s="114"/>
      <c r="HJ61" s="114"/>
      <c r="HK61" s="114"/>
      <c r="HL61" s="114"/>
      <c r="HM61" s="114"/>
      <c r="HN61" s="114"/>
      <c r="HO61" s="114"/>
      <c r="HP61" s="114"/>
      <c r="HQ61" s="114"/>
      <c r="HR61" s="114"/>
      <c r="HS61" s="114"/>
      <c r="HT61" s="114"/>
      <c r="HU61" s="114"/>
      <c r="HV61" s="114"/>
      <c r="HW61" s="114"/>
      <c r="HX61" s="114"/>
      <c r="HY61" s="114"/>
      <c r="HZ61" s="114"/>
      <c r="IA61" s="114"/>
      <c r="IB61" s="114"/>
      <c r="IC61" s="114"/>
      <c r="ID61" s="114"/>
      <c r="IE61" s="114"/>
      <c r="IF61" s="114"/>
      <c r="IG61" s="114"/>
      <c r="IH61" s="114"/>
      <c r="II61" s="114"/>
      <c r="IJ61" s="114"/>
      <c r="IK61" s="114"/>
      <c r="IL61" s="114"/>
      <c r="IM61" s="114"/>
      <c r="IN61" s="114"/>
      <c r="IO61" s="114"/>
      <c r="IP61" s="114"/>
      <c r="IQ61" s="114"/>
      <c r="IR61" s="114"/>
      <c r="IS61" s="114"/>
      <c r="IT61" s="114"/>
      <c r="IU61" s="114"/>
      <c r="IV61" s="114"/>
    </row>
    <row r="62" spans="1:256" s="56" customFormat="1" ht="15">
      <c r="A62" s="552" t="s">
        <v>262</v>
      </c>
      <c r="B62" s="552"/>
      <c r="C62" s="115" t="s">
        <v>330</v>
      </c>
      <c r="D62" s="121">
        <v>0</v>
      </c>
      <c r="E62" s="121">
        <v>0</v>
      </c>
      <c r="F62" s="121">
        <v>0</v>
      </c>
      <c r="G62" s="121"/>
      <c r="H62" s="55">
        <f>(((E62*(1+Parâmetros!B11)*(1+Parâmetros!C11)*(1+Parâmetros!D11))+(F62*(1+Parâmetros!C11)*(1+Parâmetros!D11)+(G62*(1+Parâmetros!D11))))/3)*(1+Parâmetros!E11)</f>
        <v>0</v>
      </c>
      <c r="I62" s="116">
        <f>H62*(1+Parâmetros!F11)</f>
        <v>0</v>
      </c>
      <c r="J62" s="116">
        <f>I62*(1+Parâmetros!G11)</f>
        <v>0</v>
      </c>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56" customFormat="1" ht="15.75">
      <c r="A63" s="552" t="s">
        <v>262</v>
      </c>
      <c r="B63" s="552"/>
      <c r="C63" s="115" t="s">
        <v>265</v>
      </c>
      <c r="D63" s="121">
        <v>0</v>
      </c>
      <c r="E63" s="121">
        <v>0</v>
      </c>
      <c r="F63" s="121">
        <v>0</v>
      </c>
      <c r="G63" s="121">
        <v>0</v>
      </c>
      <c r="H63" s="55">
        <f>((E63+F63+G63)/3)*(1+Parâmetros!E11)</f>
        <v>0</v>
      </c>
      <c r="I63" s="55">
        <f>((F63+G63+H63)/3)*(1+Parâmetros!F11)</f>
        <v>0</v>
      </c>
      <c r="J63" s="55">
        <f>((G63+H63+I63)/3)*(1+Parâmetros!G11)</f>
        <v>0</v>
      </c>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s="56" customFormat="1" ht="15.75">
      <c r="A64" s="552" t="s">
        <v>266</v>
      </c>
      <c r="B64" s="552"/>
      <c r="C64" s="115" t="s">
        <v>267</v>
      </c>
      <c r="D64" s="121">
        <v>0</v>
      </c>
      <c r="E64" s="121">
        <v>0</v>
      </c>
      <c r="F64" s="121">
        <v>0</v>
      </c>
      <c r="G64" s="121"/>
      <c r="H64" s="55">
        <f>((E64+F64+G64)/3)*(1+Parâmetros!E11)</f>
        <v>0</v>
      </c>
      <c r="I64" s="55">
        <f>((F64+G64+H64)/3)*(1+Parâmetros!F11)</f>
        <v>0</v>
      </c>
      <c r="J64" s="55">
        <f>((G64+H64+I64)/3)*(1+Parâmetros!G11)</f>
        <v>0</v>
      </c>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s="50" customFormat="1" ht="15.75">
      <c r="A65" s="551" t="s">
        <v>268</v>
      </c>
      <c r="B65" s="551"/>
      <c r="C65" s="111" t="s">
        <v>269</v>
      </c>
      <c r="D65" s="113">
        <v>0</v>
      </c>
      <c r="E65" s="113">
        <f aca="true" t="shared" si="15" ref="E65:J65">SUM(E66:E68)</f>
        <v>0</v>
      </c>
      <c r="F65" s="113">
        <f t="shared" si="15"/>
        <v>0</v>
      </c>
      <c r="G65" s="113">
        <f t="shared" si="15"/>
        <v>0</v>
      </c>
      <c r="H65" s="113">
        <f t="shared" si="15"/>
        <v>0</v>
      </c>
      <c r="I65" s="113">
        <f t="shared" si="15"/>
        <v>0</v>
      </c>
      <c r="J65" s="113">
        <f t="shared" si="15"/>
        <v>0</v>
      </c>
      <c r="FW65" s="114"/>
      <c r="FX65" s="114"/>
      <c r="FY65" s="114"/>
      <c r="FZ65" s="114"/>
      <c r="GA65" s="114"/>
      <c r="GB65" s="114"/>
      <c r="GC65" s="114"/>
      <c r="GD65" s="114"/>
      <c r="GE65" s="114"/>
      <c r="GF65" s="114"/>
      <c r="GG65" s="114"/>
      <c r="GH65" s="114"/>
      <c r="GI65" s="114"/>
      <c r="GJ65" s="114"/>
      <c r="GK65" s="114"/>
      <c r="GL65" s="114"/>
      <c r="GM65" s="114"/>
      <c r="GN65" s="114"/>
      <c r="GO65" s="114"/>
      <c r="GP65" s="114"/>
      <c r="GQ65" s="114"/>
      <c r="GR65" s="114"/>
      <c r="GS65" s="114"/>
      <c r="GT65" s="114"/>
      <c r="GU65" s="114"/>
      <c r="GV65" s="114"/>
      <c r="GW65" s="114"/>
      <c r="GX65" s="114"/>
      <c r="GY65" s="114"/>
      <c r="GZ65" s="114"/>
      <c r="HA65" s="114"/>
      <c r="HB65" s="114"/>
      <c r="HC65" s="114"/>
      <c r="HD65" s="114"/>
      <c r="HE65" s="114"/>
      <c r="HF65" s="114"/>
      <c r="HG65" s="114"/>
      <c r="HH65" s="114"/>
      <c r="HI65" s="114"/>
      <c r="HJ65" s="114"/>
      <c r="HK65" s="114"/>
      <c r="HL65" s="114"/>
      <c r="HM65" s="114"/>
      <c r="HN65" s="114"/>
      <c r="HO65" s="114"/>
      <c r="HP65" s="114"/>
      <c r="HQ65" s="114"/>
      <c r="HR65" s="114"/>
      <c r="HS65" s="114"/>
      <c r="HT65" s="114"/>
      <c r="HU65" s="114"/>
      <c r="HV65" s="114"/>
      <c r="HW65" s="114"/>
      <c r="HX65" s="114"/>
      <c r="HY65" s="114"/>
      <c r="HZ65" s="114"/>
      <c r="IA65" s="114"/>
      <c r="IB65" s="114"/>
      <c r="IC65" s="114"/>
      <c r="ID65" s="114"/>
      <c r="IE65" s="114"/>
      <c r="IF65" s="114"/>
      <c r="IG65" s="114"/>
      <c r="IH65" s="114"/>
      <c r="II65" s="114"/>
      <c r="IJ65" s="114"/>
      <c r="IK65" s="114"/>
      <c r="IL65" s="114"/>
      <c r="IM65" s="114"/>
      <c r="IN65" s="114"/>
      <c r="IO65" s="114"/>
      <c r="IP65" s="114"/>
      <c r="IQ65" s="114"/>
      <c r="IR65" s="114"/>
      <c r="IS65" s="114"/>
      <c r="IT65" s="114"/>
      <c r="IU65" s="114"/>
      <c r="IV65" s="114"/>
    </row>
    <row r="66" spans="1:256" s="50" customFormat="1" ht="15">
      <c r="A66" s="552" t="s">
        <v>268</v>
      </c>
      <c r="B66" s="552"/>
      <c r="C66" s="115" t="s">
        <v>331</v>
      </c>
      <c r="D66" s="121">
        <v>0</v>
      </c>
      <c r="E66" s="121">
        <v>0</v>
      </c>
      <c r="F66" s="121">
        <v>0</v>
      </c>
      <c r="G66" s="121"/>
      <c r="H66" s="55">
        <f>(((E66*(1+Parâmetros!B11)*(1+Parâmetros!C11)*(1+Parâmetros!D11))+(F66*(1+Parâmetros!C11)*(1+Parâmetros!D11)+(G66*(1+Parâmetros!D11))))/3)*(1+Parâmetros!E11)</f>
        <v>0</v>
      </c>
      <c r="I66" s="116">
        <f>H66*(1+Parâmetros!F11)</f>
        <v>0</v>
      </c>
      <c r="J66" s="116">
        <f>I66*(1+Parâmetros!G11)</f>
        <v>0</v>
      </c>
      <c r="FW66" s="51"/>
      <c r="FX66" s="51"/>
      <c r="FY66" s="51"/>
      <c r="FZ66" s="51"/>
      <c r="GA66" s="51"/>
      <c r="GB66" s="51"/>
      <c r="GC66" s="51"/>
      <c r="GD66" s="51"/>
      <c r="GE66" s="51"/>
      <c r="GF66" s="51"/>
      <c r="GG66" s="51"/>
      <c r="GH66" s="51"/>
      <c r="GI66" s="51"/>
      <c r="GJ66" s="51"/>
      <c r="GK66" s="51"/>
      <c r="GL66" s="51"/>
      <c r="GM66" s="51"/>
      <c r="GN66" s="51"/>
      <c r="GO66" s="51"/>
      <c r="GP66" s="51"/>
      <c r="GQ66" s="51"/>
      <c r="GR66" s="51"/>
      <c r="GS66" s="51"/>
      <c r="GT66" s="51"/>
      <c r="GU66" s="51"/>
      <c r="GV66" s="51"/>
      <c r="GW66" s="51"/>
      <c r="GX66" s="51"/>
      <c r="GY66" s="51"/>
      <c r="GZ66" s="51"/>
      <c r="HA66" s="51"/>
      <c r="HB66" s="51"/>
      <c r="HC66" s="51"/>
      <c r="HD66" s="51"/>
      <c r="HE66" s="51"/>
      <c r="HF66" s="51"/>
      <c r="HG66" s="51"/>
      <c r="HH66" s="51"/>
      <c r="HI66" s="51"/>
      <c r="HJ66" s="51"/>
      <c r="HK66" s="51"/>
      <c r="HL66" s="51"/>
      <c r="HM66" s="51"/>
      <c r="HN66" s="51"/>
      <c r="HO66" s="51"/>
      <c r="HP66" s="51"/>
      <c r="HQ66" s="51"/>
      <c r="HR66" s="51"/>
      <c r="HS66" s="51"/>
      <c r="HT66" s="51"/>
      <c r="HU66" s="51"/>
      <c r="HV66" s="51"/>
      <c r="HW66" s="51"/>
      <c r="HX66" s="51"/>
      <c r="HY66" s="51"/>
      <c r="HZ66" s="51"/>
      <c r="IA66" s="51"/>
      <c r="IB66" s="51"/>
      <c r="IC66" s="51"/>
      <c r="ID66" s="51"/>
      <c r="IE66" s="51"/>
      <c r="IF66" s="51"/>
      <c r="IG66" s="51"/>
      <c r="IH66" s="51"/>
      <c r="II66" s="51"/>
      <c r="IJ66" s="51"/>
      <c r="IK66" s="51"/>
      <c r="IL66" s="51"/>
      <c r="IM66" s="51"/>
      <c r="IN66" s="51"/>
      <c r="IO66" s="51"/>
      <c r="IP66" s="51"/>
      <c r="IQ66" s="51"/>
      <c r="IR66" s="51"/>
      <c r="IS66" s="51"/>
      <c r="IT66" s="51"/>
      <c r="IU66" s="51"/>
      <c r="IV66" s="51"/>
    </row>
    <row r="67" spans="1:256" s="50" customFormat="1" ht="15.75">
      <c r="A67" s="552" t="s">
        <v>268</v>
      </c>
      <c r="B67" s="552"/>
      <c r="C67" s="115" t="s">
        <v>272</v>
      </c>
      <c r="D67" s="121">
        <v>0</v>
      </c>
      <c r="E67" s="121">
        <v>0</v>
      </c>
      <c r="F67" s="121">
        <v>0</v>
      </c>
      <c r="G67" s="121">
        <v>0</v>
      </c>
      <c r="H67" s="55">
        <f>((E67+F67+G67)/3)*(1+Parâmetros!E11)</f>
        <v>0</v>
      </c>
      <c r="I67" s="55">
        <f>((F67+G67+H67)/3)*(1+Parâmetros!F11)</f>
        <v>0</v>
      </c>
      <c r="J67" s="55">
        <f>((G67+H67+I67)/3)*(1+Parâmetros!G11)</f>
        <v>0</v>
      </c>
      <c r="FW67" s="51"/>
      <c r="FX67" s="51"/>
      <c r="FY67" s="51"/>
      <c r="FZ67" s="51"/>
      <c r="GA67" s="51"/>
      <c r="GB67" s="51"/>
      <c r="GC67" s="51"/>
      <c r="GD67" s="51"/>
      <c r="GE67" s="51"/>
      <c r="GF67" s="51"/>
      <c r="GG67" s="51"/>
      <c r="GH67" s="51"/>
      <c r="GI67" s="51"/>
      <c r="GJ67" s="51"/>
      <c r="GK67" s="51"/>
      <c r="GL67" s="51"/>
      <c r="GM67" s="51"/>
      <c r="GN67" s="51"/>
      <c r="GO67" s="51"/>
      <c r="GP67" s="51"/>
      <c r="GQ67" s="51"/>
      <c r="GR67" s="51"/>
      <c r="GS67" s="51"/>
      <c r="GT67" s="51"/>
      <c r="GU67" s="51"/>
      <c r="GV67" s="51"/>
      <c r="GW67" s="51"/>
      <c r="GX67" s="51"/>
      <c r="GY67" s="51"/>
      <c r="GZ67" s="51"/>
      <c r="HA67" s="51"/>
      <c r="HB67" s="51"/>
      <c r="HC67" s="51"/>
      <c r="HD67" s="51"/>
      <c r="HE67" s="51"/>
      <c r="HF67" s="51"/>
      <c r="HG67" s="51"/>
      <c r="HH67" s="51"/>
      <c r="HI67" s="51"/>
      <c r="HJ67" s="51"/>
      <c r="HK67" s="51"/>
      <c r="HL67" s="51"/>
      <c r="HM67" s="51"/>
      <c r="HN67" s="51"/>
      <c r="HO67" s="51"/>
      <c r="HP67" s="51"/>
      <c r="HQ67" s="51"/>
      <c r="HR67" s="51"/>
      <c r="HS67" s="51"/>
      <c r="HT67" s="51"/>
      <c r="HU67" s="51"/>
      <c r="HV67" s="51"/>
      <c r="HW67" s="51"/>
      <c r="HX67" s="51"/>
      <c r="HY67" s="51"/>
      <c r="HZ67" s="51"/>
      <c r="IA67" s="51"/>
      <c r="IB67" s="51"/>
      <c r="IC67" s="51"/>
      <c r="ID67" s="51"/>
      <c r="IE67" s="51"/>
      <c r="IF67" s="51"/>
      <c r="IG67" s="51"/>
      <c r="IH67" s="51"/>
      <c r="II67" s="51"/>
      <c r="IJ67" s="51"/>
      <c r="IK67" s="51"/>
      <c r="IL67" s="51"/>
      <c r="IM67" s="51"/>
      <c r="IN67" s="51"/>
      <c r="IO67" s="51"/>
      <c r="IP67" s="51"/>
      <c r="IQ67" s="51"/>
      <c r="IR67" s="51"/>
      <c r="IS67" s="51"/>
      <c r="IT67" s="51"/>
      <c r="IU67" s="51"/>
      <c r="IV67" s="51"/>
    </row>
    <row r="68" spans="1:256" s="50" customFormat="1" ht="15.75">
      <c r="A68" s="552" t="s">
        <v>273</v>
      </c>
      <c r="B68" s="552"/>
      <c r="C68" s="115" t="s">
        <v>274</v>
      </c>
      <c r="D68" s="121">
        <v>0</v>
      </c>
      <c r="E68" s="121">
        <v>0</v>
      </c>
      <c r="F68" s="121">
        <v>0</v>
      </c>
      <c r="G68" s="121">
        <v>0</v>
      </c>
      <c r="H68" s="55">
        <f>((E68+F68+G68)/3)*(1+Parâmetros!E11)</f>
        <v>0</v>
      </c>
      <c r="I68" s="55">
        <f>((F68+G68+H68)/3)*(1+Parâmetros!F11)</f>
        <v>0</v>
      </c>
      <c r="J68" s="55">
        <f>((G68+H68+I68)/3)*(1+Parâmetros!G11)</f>
        <v>0</v>
      </c>
      <c r="FW68" s="51"/>
      <c r="FX68" s="51"/>
      <c r="FY68" s="51"/>
      <c r="FZ68" s="51"/>
      <c r="GA68" s="51"/>
      <c r="GB68" s="51"/>
      <c r="GC68" s="51"/>
      <c r="GD68" s="51"/>
      <c r="GE68" s="51"/>
      <c r="GF68" s="51"/>
      <c r="GG68" s="51"/>
      <c r="GH68" s="51"/>
      <c r="GI68" s="51"/>
      <c r="GJ68" s="51"/>
      <c r="GK68" s="51"/>
      <c r="GL68" s="51"/>
      <c r="GM68" s="51"/>
      <c r="GN68" s="51"/>
      <c r="GO68" s="51"/>
      <c r="GP68" s="51"/>
      <c r="GQ68" s="51"/>
      <c r="GR68" s="51"/>
      <c r="GS68" s="51"/>
      <c r="GT68" s="51"/>
      <c r="GU68" s="51"/>
      <c r="GV68" s="51"/>
      <c r="GW68" s="51"/>
      <c r="GX68" s="51"/>
      <c r="GY68" s="51"/>
      <c r="GZ68" s="51"/>
      <c r="HA68" s="51"/>
      <c r="HB68" s="51"/>
      <c r="HC68" s="51"/>
      <c r="HD68" s="51"/>
      <c r="HE68" s="51"/>
      <c r="HF68" s="51"/>
      <c r="HG68" s="51"/>
      <c r="HH68" s="51"/>
      <c r="HI68" s="51"/>
      <c r="HJ68" s="51"/>
      <c r="HK68" s="51"/>
      <c r="HL68" s="51"/>
      <c r="HM68" s="51"/>
      <c r="HN68" s="51"/>
      <c r="HO68" s="51"/>
      <c r="HP68" s="51"/>
      <c r="HQ68" s="51"/>
      <c r="HR68" s="51"/>
      <c r="HS68" s="51"/>
      <c r="HT68" s="51"/>
      <c r="HU68" s="51"/>
      <c r="HV68" s="51"/>
      <c r="HW68" s="51"/>
      <c r="HX68" s="51"/>
      <c r="HY68" s="51"/>
      <c r="HZ68" s="51"/>
      <c r="IA68" s="51"/>
      <c r="IB68" s="51"/>
      <c r="IC68" s="51"/>
      <c r="ID68" s="51"/>
      <c r="IE68" s="51"/>
      <c r="IF68" s="51"/>
      <c r="IG68" s="51"/>
      <c r="IH68" s="51"/>
      <c r="II68" s="51"/>
      <c r="IJ68" s="51"/>
      <c r="IK68" s="51"/>
      <c r="IL68" s="51"/>
      <c r="IM68" s="51"/>
      <c r="IN68" s="51"/>
      <c r="IO68" s="51"/>
      <c r="IP68" s="51"/>
      <c r="IQ68" s="51"/>
      <c r="IR68" s="51"/>
      <c r="IS68" s="51"/>
      <c r="IT68" s="51"/>
      <c r="IU68" s="51"/>
      <c r="IV68" s="51"/>
    </row>
    <row r="69" spans="1:256" s="88" customFormat="1" ht="29.25" customHeight="1">
      <c r="A69" s="122"/>
      <c r="B69" s="122"/>
      <c r="C69" s="123" t="s">
        <v>275</v>
      </c>
      <c r="D69" s="124">
        <f aca="true" t="shared" si="16" ref="D69:J69">D43+D56</f>
        <v>4359068.41</v>
      </c>
      <c r="E69" s="124">
        <f t="shared" si="16"/>
        <v>4193895.19</v>
      </c>
      <c r="F69" s="124">
        <f t="shared" si="16"/>
        <v>5378004.34</v>
      </c>
      <c r="G69" s="124">
        <f t="shared" si="16"/>
        <v>6216602.318571429</v>
      </c>
      <c r="H69" s="124">
        <f t="shared" si="16"/>
        <v>6330703.919371037</v>
      </c>
      <c r="I69" s="124">
        <f t="shared" si="16"/>
        <v>6560383.452457868</v>
      </c>
      <c r="J69" s="124">
        <f t="shared" si="16"/>
        <v>6789598.8260597205</v>
      </c>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row>
    <row r="70" spans="1:256" s="35" customFormat="1" ht="17.25" customHeight="1" hidden="1">
      <c r="A70" s="125"/>
      <c r="B70" s="126"/>
      <c r="C70" s="127" t="s">
        <v>276</v>
      </c>
      <c r="D70" s="128"/>
      <c r="E70" s="129"/>
      <c r="F70" s="129"/>
      <c r="G70" s="129"/>
      <c r="H70" s="129"/>
      <c r="I70" s="129"/>
      <c r="J70" s="129"/>
      <c r="FW70" s="36"/>
      <c r="FX70" s="36"/>
      <c r="FY70" s="36"/>
      <c r="FZ70" s="36"/>
      <c r="GA70" s="36"/>
      <c r="GB70" s="36"/>
      <c r="GC70" s="36"/>
      <c r="GD70" s="36"/>
      <c r="GE70" s="36"/>
      <c r="GF70" s="36"/>
      <c r="GG70" s="36"/>
      <c r="GH70" s="36"/>
      <c r="GI70" s="36"/>
      <c r="GJ70" s="36"/>
      <c r="GK70" s="36"/>
      <c r="GL70" s="36"/>
      <c r="GM70" s="36"/>
      <c r="GN70" s="36"/>
      <c r="GO70" s="36"/>
      <c r="GP70" s="36"/>
      <c r="GQ70" s="36"/>
      <c r="GR70" s="36"/>
      <c r="GS70" s="36"/>
      <c r="GT70" s="36"/>
      <c r="GU70" s="36"/>
      <c r="GV70" s="36"/>
      <c r="GW70" s="36"/>
      <c r="GX70" s="36"/>
      <c r="GY70" s="36"/>
      <c r="GZ70" s="36"/>
      <c r="HA70" s="36"/>
      <c r="HB70" s="36"/>
      <c r="HC70" s="36"/>
      <c r="HD70" s="36"/>
      <c r="HE70" s="36"/>
      <c r="HF70" s="36"/>
      <c r="HG70" s="36"/>
      <c r="HH70" s="36"/>
      <c r="HI70" s="36"/>
      <c r="HJ70" s="36"/>
      <c r="HK70" s="36"/>
      <c r="HL70" s="36"/>
      <c r="HM70" s="36"/>
      <c r="HN70" s="36"/>
      <c r="HO70" s="36"/>
      <c r="HP70" s="36"/>
      <c r="HQ70" s="36"/>
      <c r="HR70" s="36"/>
      <c r="HS70" s="36"/>
      <c r="HT70" s="36"/>
      <c r="HU70" s="36"/>
      <c r="HV70" s="36"/>
      <c r="HW70" s="36"/>
      <c r="HX70" s="36"/>
      <c r="HY70" s="36"/>
      <c r="HZ70" s="36"/>
      <c r="IA70" s="36"/>
      <c r="IB70" s="36"/>
      <c r="IC70" s="36"/>
      <c r="ID70" s="36"/>
      <c r="IE70" s="36"/>
      <c r="IF70" s="36"/>
      <c r="IG70" s="36"/>
      <c r="IH70" s="36"/>
      <c r="II70" s="36"/>
      <c r="IJ70" s="36"/>
      <c r="IK70" s="36"/>
      <c r="IL70" s="36"/>
      <c r="IM70" s="36"/>
      <c r="IN70" s="36"/>
      <c r="IO70" s="36"/>
      <c r="IP70" s="36"/>
      <c r="IQ70" s="36"/>
      <c r="IR70" s="36"/>
      <c r="IS70" s="36"/>
      <c r="IT70" s="36"/>
      <c r="IU70" s="36"/>
      <c r="IV70" s="36"/>
    </row>
    <row r="71" spans="1:256" s="35" customFormat="1" ht="17.25" customHeight="1" hidden="1">
      <c r="A71" s="130"/>
      <c r="B71" s="131"/>
      <c r="C71" s="132" t="s">
        <v>277</v>
      </c>
      <c r="D71" s="133" t="s">
        <v>278</v>
      </c>
      <c r="E71" s="133" t="e">
        <f>IF(#REF!&gt;0,"REALIZADO","PROJETADO")</f>
        <v>#REF!</v>
      </c>
      <c r="F71" s="133" t="e">
        <f>IF(#REF!&gt;0,"REALIZADO","PROJETADO")</f>
        <v>#REF!</v>
      </c>
      <c r="G71" s="133" t="e">
        <f>IF(#REF!&gt;0,"REALIZADO","PROJETADO")</f>
        <v>#REF!</v>
      </c>
      <c r="H71" s="133" t="s">
        <v>23</v>
      </c>
      <c r="I71" s="133"/>
      <c r="J71" s="133" t="s">
        <v>23</v>
      </c>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c r="HE71" s="36"/>
      <c r="HF71" s="36"/>
      <c r="HG71" s="36"/>
      <c r="HH71" s="36"/>
      <c r="HI71" s="36"/>
      <c r="HJ71" s="36"/>
      <c r="HK71" s="36"/>
      <c r="HL71" s="36"/>
      <c r="HM71" s="36"/>
      <c r="HN71" s="36"/>
      <c r="HO71" s="36"/>
      <c r="HP71" s="36"/>
      <c r="HQ71" s="36"/>
      <c r="HR71" s="36"/>
      <c r="HS71" s="36"/>
      <c r="HT71" s="36"/>
      <c r="HU71" s="36"/>
      <c r="HV71" s="36"/>
      <c r="HW71" s="36"/>
      <c r="HX71" s="36"/>
      <c r="HY71" s="36"/>
      <c r="HZ71" s="36"/>
      <c r="IA71" s="36"/>
      <c r="IB71" s="36"/>
      <c r="IC71" s="36"/>
      <c r="ID71" s="36"/>
      <c r="IE71" s="36"/>
      <c r="IF71" s="36"/>
      <c r="IG71" s="36"/>
      <c r="IH71" s="36"/>
      <c r="II71" s="36"/>
      <c r="IJ71" s="36"/>
      <c r="IK71" s="36"/>
      <c r="IL71" s="36"/>
      <c r="IM71" s="36"/>
      <c r="IN71" s="36"/>
      <c r="IO71" s="36"/>
      <c r="IP71" s="36"/>
      <c r="IQ71" s="36"/>
      <c r="IR71" s="36"/>
      <c r="IS71" s="36"/>
      <c r="IT71" s="36"/>
      <c r="IU71" s="36"/>
      <c r="IV71" s="36"/>
    </row>
    <row r="72" spans="1:256" s="35" customFormat="1" ht="17.25" customHeight="1" hidden="1">
      <c r="A72" s="130"/>
      <c r="B72" s="131"/>
      <c r="C72" s="134" t="s">
        <v>279</v>
      </c>
      <c r="D72" s="135">
        <v>1999</v>
      </c>
      <c r="E72" s="135">
        <v>2000</v>
      </c>
      <c r="F72" s="135">
        <v>2001</v>
      </c>
      <c r="G72" s="135">
        <v>2002</v>
      </c>
      <c r="H72" s="135">
        <v>2003</v>
      </c>
      <c r="I72" s="135"/>
      <c r="J72" s="135">
        <v>2004</v>
      </c>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c r="IC72" s="36"/>
      <c r="ID72" s="36"/>
      <c r="IE72" s="36"/>
      <c r="IF72" s="36"/>
      <c r="IG72" s="36"/>
      <c r="IH72" s="36"/>
      <c r="II72" s="36"/>
      <c r="IJ72" s="36"/>
      <c r="IK72" s="36"/>
      <c r="IL72" s="36"/>
      <c r="IM72" s="36"/>
      <c r="IN72" s="36"/>
      <c r="IO72" s="36"/>
      <c r="IP72" s="36"/>
      <c r="IQ72" s="36"/>
      <c r="IR72" s="36"/>
      <c r="IS72" s="36"/>
      <c r="IT72" s="36"/>
      <c r="IU72" s="36"/>
      <c r="IV72" s="36"/>
    </row>
    <row r="73" spans="1:256" s="35" customFormat="1" ht="17.25" customHeight="1" hidden="1">
      <c r="A73" s="130"/>
      <c r="B73" s="131"/>
      <c r="C73" s="127"/>
      <c r="D73" s="136"/>
      <c r="E73" s="136"/>
      <c r="F73" s="136"/>
      <c r="G73" s="136"/>
      <c r="H73" s="136"/>
      <c r="I73" s="136"/>
      <c r="J73" s="1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c r="HM73" s="36"/>
      <c r="HN73" s="36"/>
      <c r="HO73" s="36"/>
      <c r="HP73" s="36"/>
      <c r="HQ73" s="36"/>
      <c r="HR73" s="36"/>
      <c r="HS73" s="36"/>
      <c r="HT73" s="36"/>
      <c r="HU73" s="36"/>
      <c r="HV73" s="36"/>
      <c r="HW73" s="36"/>
      <c r="HX73" s="36"/>
      <c r="HY73" s="36"/>
      <c r="HZ73" s="36"/>
      <c r="IA73" s="36"/>
      <c r="IB73" s="36"/>
      <c r="IC73" s="36"/>
      <c r="ID73" s="36"/>
      <c r="IE73" s="36"/>
      <c r="IF73" s="36"/>
      <c r="IG73" s="36"/>
      <c r="IH73" s="36"/>
      <c r="II73" s="36"/>
      <c r="IJ73" s="36"/>
      <c r="IK73" s="36"/>
      <c r="IL73" s="36"/>
      <c r="IM73" s="36"/>
      <c r="IN73" s="36"/>
      <c r="IO73" s="36"/>
      <c r="IP73" s="36"/>
      <c r="IQ73" s="36"/>
      <c r="IR73" s="36"/>
      <c r="IS73" s="36"/>
      <c r="IT73" s="36"/>
      <c r="IU73" s="36"/>
      <c r="IV73" s="36"/>
    </row>
    <row r="74" spans="1:256" s="35" customFormat="1" ht="15.75" hidden="1">
      <c r="A74" s="130"/>
      <c r="B74" s="131"/>
      <c r="C74" s="127" t="s">
        <v>280</v>
      </c>
      <c r="D74" s="137" t="e">
        <f>D8-#REF!-#REF!+D78-#REF!</f>
        <v>#REF!</v>
      </c>
      <c r="E74" s="137" t="e">
        <f>E8-#REF!-#REF!+E78-#REF!</f>
        <v>#REF!</v>
      </c>
      <c r="F74" s="137" t="e">
        <f>F8-#REF!-#REF!+F78-#REF!</f>
        <v>#REF!</v>
      </c>
      <c r="G74" s="137" t="e">
        <f>G8-#REF!-#REF!+G78-#REF!</f>
        <v>#REF!</v>
      </c>
      <c r="H74" s="137" t="e">
        <f>H8-#REF!-#REF!+H78-#REF!</f>
        <v>#REF!</v>
      </c>
      <c r="I74" s="137"/>
      <c r="J74" s="137" t="e">
        <f>J8-#REF!-#REF!+J78-#REF!</f>
        <v>#REF!</v>
      </c>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c r="IC74" s="36"/>
      <c r="ID74" s="36"/>
      <c r="IE74" s="36"/>
      <c r="IF74" s="36"/>
      <c r="IG74" s="36"/>
      <c r="IH74" s="36"/>
      <c r="II74" s="36"/>
      <c r="IJ74" s="36"/>
      <c r="IK74" s="36"/>
      <c r="IL74" s="36"/>
      <c r="IM74" s="36"/>
      <c r="IN74" s="36"/>
      <c r="IO74" s="36"/>
      <c r="IP74" s="36"/>
      <c r="IQ74" s="36"/>
      <c r="IR74" s="36"/>
      <c r="IS74" s="36"/>
      <c r="IT74" s="36"/>
      <c r="IU74" s="36"/>
      <c r="IV74" s="36"/>
    </row>
    <row r="75" spans="1:256" s="35" customFormat="1" ht="15.75" hidden="1">
      <c r="A75" s="130"/>
      <c r="B75" s="131"/>
      <c r="C75" s="127" t="s">
        <v>281</v>
      </c>
      <c r="D75" s="137" t="e">
        <f>#REF!</f>
        <v>#REF!</v>
      </c>
      <c r="E75" s="137" t="e">
        <f>#REF!</f>
        <v>#REF!</v>
      </c>
      <c r="F75" s="137" t="e">
        <f>#REF!</f>
        <v>#REF!</v>
      </c>
      <c r="G75" s="137" t="e">
        <f>#REF!</f>
        <v>#REF!</v>
      </c>
      <c r="H75" s="137" t="e">
        <f>#REF!</f>
        <v>#REF!</v>
      </c>
      <c r="I75" s="137"/>
      <c r="J75" s="137" t="e">
        <f>#REF!</f>
        <v>#REF!</v>
      </c>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c r="HE75" s="36"/>
      <c r="HF75" s="36"/>
      <c r="HG75" s="36"/>
      <c r="HH75" s="36"/>
      <c r="HI75" s="36"/>
      <c r="HJ75" s="36"/>
      <c r="HK75" s="36"/>
      <c r="HL75" s="36"/>
      <c r="HM75" s="36"/>
      <c r="HN75" s="36"/>
      <c r="HO75" s="36"/>
      <c r="HP75" s="36"/>
      <c r="HQ75" s="36"/>
      <c r="HR75" s="36"/>
      <c r="HS75" s="36"/>
      <c r="HT75" s="36"/>
      <c r="HU75" s="36"/>
      <c r="HV75" s="36"/>
      <c r="HW75" s="36"/>
      <c r="HX75" s="36"/>
      <c r="HY75" s="36"/>
      <c r="HZ75" s="36"/>
      <c r="IA75" s="36"/>
      <c r="IB75" s="36"/>
      <c r="IC75" s="36"/>
      <c r="ID75" s="36"/>
      <c r="IE75" s="36"/>
      <c r="IF75" s="36"/>
      <c r="IG75" s="36"/>
      <c r="IH75" s="36"/>
      <c r="II75" s="36"/>
      <c r="IJ75" s="36"/>
      <c r="IK75" s="36"/>
      <c r="IL75" s="36"/>
      <c r="IM75" s="36"/>
      <c r="IN75" s="36"/>
      <c r="IO75" s="36"/>
      <c r="IP75" s="36"/>
      <c r="IQ75" s="36"/>
      <c r="IR75" s="36"/>
      <c r="IS75" s="36"/>
      <c r="IT75" s="36"/>
      <c r="IU75" s="36"/>
      <c r="IV75" s="36"/>
    </row>
    <row r="76" spans="1:256" s="35" customFormat="1" ht="15.75" hidden="1">
      <c r="A76" s="130"/>
      <c r="B76" s="131"/>
      <c r="C76" s="127" t="s">
        <v>282</v>
      </c>
      <c r="D76" s="137" t="e">
        <f>#REF!+#REF!+#REF!+#REF!+#REF!+#REF!+#REF!</f>
        <v>#REF!</v>
      </c>
      <c r="E76" s="137" t="e">
        <f>#REF!+#REF!+#REF!+#REF!+#REF!+#REF!+#REF!</f>
        <v>#REF!</v>
      </c>
      <c r="F76" s="137" t="e">
        <f>#REF!+#REF!+#REF!+#REF!+#REF!+#REF!+#REF!</f>
        <v>#REF!</v>
      </c>
      <c r="G76" s="137" t="e">
        <f>#REF!+#REF!+#REF!+#REF!+#REF!+#REF!+#REF!</f>
        <v>#REF!</v>
      </c>
      <c r="H76" s="137" t="e">
        <f>#REF!+#REF!+#REF!+#REF!+#REF!+#REF!+#REF!</f>
        <v>#REF!</v>
      </c>
      <c r="I76" s="137"/>
      <c r="J76" s="137" t="e">
        <f>#REF!+#REF!+#REF!+#REF!+#REF!+#REF!+#REF!</f>
        <v>#REF!</v>
      </c>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c r="II76" s="36"/>
      <c r="IJ76" s="36"/>
      <c r="IK76" s="36"/>
      <c r="IL76" s="36"/>
      <c r="IM76" s="36"/>
      <c r="IN76" s="36"/>
      <c r="IO76" s="36"/>
      <c r="IP76" s="36"/>
      <c r="IQ76" s="36"/>
      <c r="IR76" s="36"/>
      <c r="IS76" s="36"/>
      <c r="IT76" s="36"/>
      <c r="IU76" s="36"/>
      <c r="IV76" s="36"/>
    </row>
    <row r="77" spans="1:256" s="35" customFormat="1" ht="15.75" hidden="1">
      <c r="A77" s="130"/>
      <c r="B77" s="131"/>
      <c r="C77" s="127" t="s">
        <v>283</v>
      </c>
      <c r="D77" s="137" t="e">
        <f>#REF!</f>
        <v>#REF!</v>
      </c>
      <c r="E77" s="137" t="e">
        <f>#REF!</f>
        <v>#REF!</v>
      </c>
      <c r="F77" s="137" t="e">
        <f>#REF!</f>
        <v>#REF!</v>
      </c>
      <c r="G77" s="137" t="e">
        <f>#REF!</f>
        <v>#REF!</v>
      </c>
      <c r="H77" s="137" t="e">
        <f>#REF!</f>
        <v>#REF!</v>
      </c>
      <c r="I77" s="137"/>
      <c r="J77" s="137" t="e">
        <f>#REF!</f>
        <v>#REF!</v>
      </c>
      <c r="FW77" s="36"/>
      <c r="FX77" s="36"/>
      <c r="FY77" s="36"/>
      <c r="FZ77" s="36"/>
      <c r="GA77" s="36"/>
      <c r="GB77" s="36"/>
      <c r="GC77" s="36"/>
      <c r="GD77" s="36"/>
      <c r="GE77" s="36"/>
      <c r="GF77" s="36"/>
      <c r="GG77" s="36"/>
      <c r="GH77" s="36"/>
      <c r="GI77" s="36"/>
      <c r="GJ77" s="36"/>
      <c r="GK77" s="36"/>
      <c r="GL77" s="36"/>
      <c r="GM77" s="36"/>
      <c r="GN77" s="36"/>
      <c r="GO77" s="36"/>
      <c r="GP77" s="36"/>
      <c r="GQ77" s="36"/>
      <c r="GR77" s="36"/>
      <c r="GS77" s="36"/>
      <c r="GT77" s="36"/>
      <c r="GU77" s="36"/>
      <c r="GV77" s="36"/>
      <c r="GW77" s="36"/>
      <c r="GX77" s="36"/>
      <c r="GY77" s="36"/>
      <c r="GZ77" s="36"/>
      <c r="HA77" s="36"/>
      <c r="HB77" s="36"/>
      <c r="HC77" s="36"/>
      <c r="HD77" s="36"/>
      <c r="HE77" s="36"/>
      <c r="HF77" s="36"/>
      <c r="HG77" s="36"/>
      <c r="HH77" s="36"/>
      <c r="HI77" s="36"/>
      <c r="HJ77" s="36"/>
      <c r="HK77" s="36"/>
      <c r="HL77" s="36"/>
      <c r="HM77" s="36"/>
      <c r="HN77" s="36"/>
      <c r="HO77" s="36"/>
      <c r="HP77" s="36"/>
      <c r="HQ77" s="36"/>
      <c r="HR77" s="36"/>
      <c r="HS77" s="36"/>
      <c r="HT77" s="36"/>
      <c r="HU77" s="36"/>
      <c r="HV77" s="36"/>
      <c r="HW77" s="36"/>
      <c r="HX77" s="36"/>
      <c r="HY77" s="36"/>
      <c r="HZ77" s="36"/>
      <c r="IA77" s="36"/>
      <c r="IB77" s="36"/>
      <c r="IC77" s="36"/>
      <c r="ID77" s="36"/>
      <c r="IE77" s="36"/>
      <c r="IF77" s="36"/>
      <c r="IG77" s="36"/>
      <c r="IH77" s="36"/>
      <c r="II77" s="36"/>
      <c r="IJ77" s="36"/>
      <c r="IK77" s="36"/>
      <c r="IL77" s="36"/>
      <c r="IM77" s="36"/>
      <c r="IN77" s="36"/>
      <c r="IO77" s="36"/>
      <c r="IP77" s="36"/>
      <c r="IQ77" s="36"/>
      <c r="IR77" s="36"/>
      <c r="IS77" s="36"/>
      <c r="IT77" s="36"/>
      <c r="IU77" s="36"/>
      <c r="IV77" s="36"/>
    </row>
    <row r="78" spans="1:256" s="35" customFormat="1" ht="15.75" hidden="1">
      <c r="A78" s="130"/>
      <c r="B78" s="131"/>
      <c r="C78" s="127" t="s">
        <v>284</v>
      </c>
      <c r="D78" s="137" t="e">
        <f>#REF!-#REF!</f>
        <v>#REF!</v>
      </c>
      <c r="E78" s="137" t="e">
        <f>#REF!-#REF!</f>
        <v>#REF!</v>
      </c>
      <c r="F78" s="137" t="e">
        <f>#REF!-#REF!</f>
        <v>#REF!</v>
      </c>
      <c r="G78" s="137" t="e">
        <f>#REF!-#REF!</f>
        <v>#REF!</v>
      </c>
      <c r="H78" s="137" t="e">
        <f>#REF!-#REF!</f>
        <v>#REF!</v>
      </c>
      <c r="I78" s="137"/>
      <c r="J78" s="137" t="e">
        <f>#REF!-#REF!</f>
        <v>#REF!</v>
      </c>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c r="HD78" s="36"/>
      <c r="HE78" s="36"/>
      <c r="HF78" s="36"/>
      <c r="HG78" s="36"/>
      <c r="HH78" s="36"/>
      <c r="HI78" s="36"/>
      <c r="HJ78" s="36"/>
      <c r="HK78" s="36"/>
      <c r="HL78" s="36"/>
      <c r="HM78" s="36"/>
      <c r="HN78" s="36"/>
      <c r="HO78" s="36"/>
      <c r="HP78" s="36"/>
      <c r="HQ78" s="36"/>
      <c r="HR78" s="36"/>
      <c r="HS78" s="36"/>
      <c r="HT78" s="36"/>
      <c r="HU78" s="36"/>
      <c r="HV78" s="36"/>
      <c r="HW78" s="36"/>
      <c r="HX78" s="36"/>
      <c r="HY78" s="36"/>
      <c r="HZ78" s="36"/>
      <c r="IA78" s="36"/>
      <c r="IB78" s="36"/>
      <c r="IC78" s="36"/>
      <c r="ID78" s="36"/>
      <c r="IE78" s="36"/>
      <c r="IF78" s="36"/>
      <c r="IG78" s="36"/>
      <c r="IH78" s="36"/>
      <c r="II78" s="36"/>
      <c r="IJ78" s="36"/>
      <c r="IK78" s="36"/>
      <c r="IL78" s="36"/>
      <c r="IM78" s="36"/>
      <c r="IN78" s="36"/>
      <c r="IO78" s="36"/>
      <c r="IP78" s="36"/>
      <c r="IQ78" s="36"/>
      <c r="IR78" s="36"/>
      <c r="IS78" s="36"/>
      <c r="IT78" s="36"/>
      <c r="IU78" s="36"/>
      <c r="IV78" s="36"/>
    </row>
    <row r="79" spans="1:256" s="35" customFormat="1" ht="15.75" hidden="1">
      <c r="A79" s="130"/>
      <c r="B79" s="131"/>
      <c r="C79" s="127" t="s">
        <v>285</v>
      </c>
      <c r="D79" s="137" t="e">
        <f>#REF!</f>
        <v>#REF!</v>
      </c>
      <c r="E79" s="137" t="e">
        <f>#REF!</f>
        <v>#REF!</v>
      </c>
      <c r="F79" s="137" t="e">
        <f>#REF!</f>
        <v>#REF!</v>
      </c>
      <c r="G79" s="137" t="e">
        <f>#REF!</f>
        <v>#REF!</v>
      </c>
      <c r="H79" s="137" t="e">
        <f>#REF!</f>
        <v>#REF!</v>
      </c>
      <c r="I79" s="137"/>
      <c r="J79" s="137" t="e">
        <f>#REF!</f>
        <v>#REF!</v>
      </c>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6"/>
      <c r="HO79" s="36"/>
      <c r="HP79" s="36"/>
      <c r="HQ79" s="36"/>
      <c r="HR79" s="36"/>
      <c r="HS79" s="36"/>
      <c r="HT79" s="36"/>
      <c r="HU79" s="36"/>
      <c r="HV79" s="36"/>
      <c r="HW79" s="36"/>
      <c r="HX79" s="36"/>
      <c r="HY79" s="36"/>
      <c r="HZ79" s="36"/>
      <c r="IA79" s="36"/>
      <c r="IB79" s="36"/>
      <c r="IC79" s="36"/>
      <c r="ID79" s="36"/>
      <c r="IE79" s="36"/>
      <c r="IF79" s="36"/>
      <c r="IG79" s="36"/>
      <c r="IH79" s="36"/>
      <c r="II79" s="36"/>
      <c r="IJ79" s="36"/>
      <c r="IK79" s="36"/>
      <c r="IL79" s="36"/>
      <c r="IM79" s="36"/>
      <c r="IN79" s="36"/>
      <c r="IO79" s="36"/>
      <c r="IP79" s="36"/>
      <c r="IQ79" s="36"/>
      <c r="IR79" s="36"/>
      <c r="IS79" s="36"/>
      <c r="IT79" s="36"/>
      <c r="IU79" s="36"/>
      <c r="IV79" s="36"/>
    </row>
    <row r="80" spans="1:256" s="35" customFormat="1" ht="15.75" hidden="1">
      <c r="A80" s="130"/>
      <c r="B80" s="131"/>
      <c r="C80" s="127" t="s">
        <v>286</v>
      </c>
      <c r="D80" s="137" t="e">
        <f>#REF!</f>
        <v>#REF!</v>
      </c>
      <c r="E80" s="137" t="e">
        <f>#REF!</f>
        <v>#REF!</v>
      </c>
      <c r="F80" s="137" t="e">
        <f>#REF!</f>
        <v>#REF!</v>
      </c>
      <c r="G80" s="137" t="e">
        <f>#REF!</f>
        <v>#REF!</v>
      </c>
      <c r="H80" s="137" t="e">
        <f>#REF!</f>
        <v>#REF!</v>
      </c>
      <c r="I80" s="137"/>
      <c r="J80" s="137" t="e">
        <f>#REF!</f>
        <v>#REF!</v>
      </c>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c r="HE80" s="36"/>
      <c r="HF80" s="36"/>
      <c r="HG80" s="36"/>
      <c r="HH80" s="36"/>
      <c r="HI80" s="36"/>
      <c r="HJ80" s="36"/>
      <c r="HK80" s="36"/>
      <c r="HL80" s="36"/>
      <c r="HM80" s="36"/>
      <c r="HN80" s="36"/>
      <c r="HO80" s="36"/>
      <c r="HP80" s="36"/>
      <c r="HQ80" s="36"/>
      <c r="HR80" s="36"/>
      <c r="HS80" s="36"/>
      <c r="HT80" s="36"/>
      <c r="HU80" s="36"/>
      <c r="HV80" s="36"/>
      <c r="HW80" s="36"/>
      <c r="HX80" s="36"/>
      <c r="HY80" s="36"/>
      <c r="HZ80" s="36"/>
      <c r="IA80" s="36"/>
      <c r="IB80" s="36"/>
      <c r="IC80" s="36"/>
      <c r="ID80" s="36"/>
      <c r="IE80" s="36"/>
      <c r="IF80" s="36"/>
      <c r="IG80" s="36"/>
      <c r="IH80" s="36"/>
      <c r="II80" s="36"/>
      <c r="IJ80" s="36"/>
      <c r="IK80" s="36"/>
      <c r="IL80" s="36"/>
      <c r="IM80" s="36"/>
      <c r="IN80" s="36"/>
      <c r="IO80" s="36"/>
      <c r="IP80" s="36"/>
      <c r="IQ80" s="36"/>
      <c r="IR80" s="36"/>
      <c r="IS80" s="36"/>
      <c r="IT80" s="36"/>
      <c r="IU80" s="36"/>
      <c r="IV80" s="36"/>
    </row>
    <row r="81" spans="1:256" s="35" customFormat="1" ht="15.75" hidden="1">
      <c r="A81" s="130"/>
      <c r="B81" s="131"/>
      <c r="C81" s="127" t="s">
        <v>287</v>
      </c>
      <c r="D81" s="137" t="e">
        <f>#REF!</f>
        <v>#REF!</v>
      </c>
      <c r="E81" s="137" t="e">
        <f>#REF!</f>
        <v>#REF!</v>
      </c>
      <c r="F81" s="137" t="e">
        <f>#REF!</f>
        <v>#REF!</v>
      </c>
      <c r="G81" s="137" t="e">
        <f>#REF!</f>
        <v>#REF!</v>
      </c>
      <c r="H81" s="137" t="e">
        <f>#REF!</f>
        <v>#REF!</v>
      </c>
      <c r="I81" s="137"/>
      <c r="J81" s="137" t="e">
        <f>#REF!</f>
        <v>#REF!</v>
      </c>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c r="II81" s="36"/>
      <c r="IJ81" s="36"/>
      <c r="IK81" s="36"/>
      <c r="IL81" s="36"/>
      <c r="IM81" s="36"/>
      <c r="IN81" s="36"/>
      <c r="IO81" s="36"/>
      <c r="IP81" s="36"/>
      <c r="IQ81" s="36"/>
      <c r="IR81" s="36"/>
      <c r="IS81" s="36"/>
      <c r="IT81" s="36"/>
      <c r="IU81" s="36"/>
      <c r="IV81" s="36"/>
    </row>
    <row r="82" spans="1:256" s="35" customFormat="1" ht="15.75" hidden="1">
      <c r="A82" s="130"/>
      <c r="B82" s="131"/>
      <c r="C82" s="127" t="s">
        <v>288</v>
      </c>
      <c r="D82" s="137" t="e">
        <f>#REF!</f>
        <v>#REF!</v>
      </c>
      <c r="E82" s="137" t="e">
        <f>#REF!</f>
        <v>#REF!</v>
      </c>
      <c r="F82" s="137" t="e">
        <f>#REF!</f>
        <v>#REF!</v>
      </c>
      <c r="G82" s="137" t="e">
        <f>#REF!</f>
        <v>#REF!</v>
      </c>
      <c r="H82" s="137" t="e">
        <f>#REF!</f>
        <v>#REF!</v>
      </c>
      <c r="I82" s="137"/>
      <c r="J82" s="137" t="e">
        <f>#REF!</f>
        <v>#REF!</v>
      </c>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36"/>
      <c r="HH82" s="36"/>
      <c r="HI82" s="36"/>
      <c r="HJ82" s="36"/>
      <c r="HK82" s="36"/>
      <c r="HL82" s="36"/>
      <c r="HM82" s="36"/>
      <c r="HN82" s="36"/>
      <c r="HO82" s="36"/>
      <c r="HP82" s="36"/>
      <c r="HQ82" s="36"/>
      <c r="HR82" s="36"/>
      <c r="HS82" s="36"/>
      <c r="HT82" s="36"/>
      <c r="HU82" s="36"/>
      <c r="HV82" s="36"/>
      <c r="HW82" s="36"/>
      <c r="HX82" s="36"/>
      <c r="HY82" s="36"/>
      <c r="HZ82" s="36"/>
      <c r="IA82" s="36"/>
      <c r="IB82" s="36"/>
      <c r="IC82" s="36"/>
      <c r="ID82" s="36"/>
      <c r="IE82" s="36"/>
      <c r="IF82" s="36"/>
      <c r="IG82" s="36"/>
      <c r="IH82" s="36"/>
      <c r="II82" s="36"/>
      <c r="IJ82" s="36"/>
      <c r="IK82" s="36"/>
      <c r="IL82" s="36"/>
      <c r="IM82" s="36"/>
      <c r="IN82" s="36"/>
      <c r="IO82" s="36"/>
      <c r="IP82" s="36"/>
      <c r="IQ82" s="36"/>
      <c r="IR82" s="36"/>
      <c r="IS82" s="36"/>
      <c r="IT82" s="36"/>
      <c r="IU82" s="36"/>
      <c r="IV82" s="36"/>
    </row>
    <row r="83" spans="1:256" s="35" customFormat="1" ht="15.75" hidden="1">
      <c r="A83" s="130"/>
      <c r="B83" s="131"/>
      <c r="C83" s="127" t="s">
        <v>289</v>
      </c>
      <c r="D83" s="137" t="e">
        <f>#REF!+#REF!+#REF!+#REF!+D65+#REF!+#REF!+D69+D48+#REF!</f>
        <v>#REF!</v>
      </c>
      <c r="E83" s="137" t="e">
        <f>#REF!+#REF!+#REF!+#REF!+E65+#REF!+#REF!+E69+E48+#REF!</f>
        <v>#REF!</v>
      </c>
      <c r="F83" s="137" t="e">
        <f>#REF!+#REF!+#REF!+#REF!+F65+#REF!+#REF!+F69+F48+#REF!</f>
        <v>#REF!</v>
      </c>
      <c r="G83" s="137" t="e">
        <f>#REF!+#REF!+#REF!+#REF!+G65+#REF!+#REF!+G69+G48+#REF!</f>
        <v>#REF!</v>
      </c>
      <c r="H83" s="137" t="e">
        <f>#REF!+#REF!+#REF!+#REF!+H65+#REF!+#REF!+H69+H48+#REF!</f>
        <v>#REF!</v>
      </c>
      <c r="I83" s="137"/>
      <c r="J83" s="137" t="e">
        <f>#REF!+#REF!+#REF!+#REF!+J65+#REF!+#REF!+J69+J48+#REF!</f>
        <v>#REF!</v>
      </c>
      <c r="FW83" s="36"/>
      <c r="FX83" s="36"/>
      <c r="FY83" s="36"/>
      <c r="FZ83" s="36"/>
      <c r="GA83" s="36"/>
      <c r="GB83" s="36"/>
      <c r="GC83" s="36"/>
      <c r="GD83" s="36"/>
      <c r="GE83" s="36"/>
      <c r="GF83" s="36"/>
      <c r="GG83" s="36"/>
      <c r="GH83" s="36"/>
      <c r="GI83" s="36"/>
      <c r="GJ83" s="36"/>
      <c r="GK83" s="36"/>
      <c r="GL83" s="36"/>
      <c r="GM83" s="36"/>
      <c r="GN83" s="36"/>
      <c r="GO83" s="36"/>
      <c r="GP83" s="36"/>
      <c r="GQ83" s="36"/>
      <c r="GR83" s="36"/>
      <c r="GS83" s="36"/>
      <c r="GT83" s="36"/>
      <c r="GU83" s="36"/>
      <c r="GV83" s="36"/>
      <c r="GW83" s="36"/>
      <c r="GX83" s="36"/>
      <c r="GY83" s="36"/>
      <c r="GZ83" s="36"/>
      <c r="HA83" s="36"/>
      <c r="HB83" s="36"/>
      <c r="HC83" s="36"/>
      <c r="HD83" s="36"/>
      <c r="HE83" s="36"/>
      <c r="HF83" s="36"/>
      <c r="HG83" s="36"/>
      <c r="HH83" s="36"/>
      <c r="HI83" s="36"/>
      <c r="HJ83" s="36"/>
      <c r="HK83" s="36"/>
      <c r="HL83" s="36"/>
      <c r="HM83" s="36"/>
      <c r="HN83" s="36"/>
      <c r="HO83" s="36"/>
      <c r="HP83" s="36"/>
      <c r="HQ83" s="36"/>
      <c r="HR83" s="36"/>
      <c r="HS83" s="36"/>
      <c r="HT83" s="36"/>
      <c r="HU83" s="36"/>
      <c r="HV83" s="36"/>
      <c r="HW83" s="36"/>
      <c r="HX83" s="36"/>
      <c r="HY83" s="36"/>
      <c r="HZ83" s="36"/>
      <c r="IA83" s="36"/>
      <c r="IB83" s="36"/>
      <c r="IC83" s="36"/>
      <c r="ID83" s="36"/>
      <c r="IE83" s="36"/>
      <c r="IF83" s="36"/>
      <c r="IG83" s="36"/>
      <c r="IH83" s="36"/>
      <c r="II83" s="36"/>
      <c r="IJ83" s="36"/>
      <c r="IK83" s="36"/>
      <c r="IL83" s="36"/>
      <c r="IM83" s="36"/>
      <c r="IN83" s="36"/>
      <c r="IO83" s="36"/>
      <c r="IP83" s="36"/>
      <c r="IQ83" s="36"/>
      <c r="IR83" s="36"/>
      <c r="IS83" s="36"/>
      <c r="IT83" s="36"/>
      <c r="IU83" s="36"/>
      <c r="IV83" s="36"/>
    </row>
    <row r="84" spans="1:256" s="35" customFormat="1" ht="15.75" hidden="1">
      <c r="A84" s="130"/>
      <c r="B84" s="131"/>
      <c r="C84" s="127" t="s">
        <v>290</v>
      </c>
      <c r="D84" s="137" t="e">
        <f>#REF!+#REF!</f>
        <v>#REF!</v>
      </c>
      <c r="E84" s="137" t="e">
        <f>#REF!+#REF!</f>
        <v>#REF!</v>
      </c>
      <c r="F84" s="137" t="e">
        <f>#REF!+#REF!</f>
        <v>#REF!</v>
      </c>
      <c r="G84" s="137" t="e">
        <f>#REF!+#REF!</f>
        <v>#REF!</v>
      </c>
      <c r="H84" s="137" t="e">
        <f>#REF!+#REF!</f>
        <v>#REF!</v>
      </c>
      <c r="I84" s="137"/>
      <c r="J84" s="137" t="e">
        <f>#REF!+#REF!</f>
        <v>#REF!</v>
      </c>
      <c r="FW84" s="36"/>
      <c r="FX84" s="36"/>
      <c r="FY84" s="36"/>
      <c r="FZ84" s="36"/>
      <c r="GA84" s="36"/>
      <c r="GB84" s="36"/>
      <c r="GC84" s="36"/>
      <c r="GD84" s="36"/>
      <c r="GE84" s="36"/>
      <c r="GF84" s="36"/>
      <c r="GG84" s="36"/>
      <c r="GH84" s="36"/>
      <c r="GI84" s="36"/>
      <c r="GJ84" s="36"/>
      <c r="GK84" s="36"/>
      <c r="GL84" s="36"/>
      <c r="GM84" s="36"/>
      <c r="GN84" s="36"/>
      <c r="GO84" s="36"/>
      <c r="GP84" s="36"/>
      <c r="GQ84" s="36"/>
      <c r="GR84" s="36"/>
      <c r="GS84" s="36"/>
      <c r="GT84" s="36"/>
      <c r="GU84" s="36"/>
      <c r="GV84" s="36"/>
      <c r="GW84" s="36"/>
      <c r="GX84" s="36"/>
      <c r="GY84" s="36"/>
      <c r="GZ84" s="36"/>
      <c r="HA84" s="36"/>
      <c r="HB84" s="36"/>
      <c r="HC84" s="36"/>
      <c r="HD84" s="36"/>
      <c r="HE84" s="36"/>
      <c r="HF84" s="36"/>
      <c r="HG84" s="36"/>
      <c r="HH84" s="36"/>
      <c r="HI84" s="36"/>
      <c r="HJ84" s="36"/>
      <c r="HK84" s="36"/>
      <c r="HL84" s="36"/>
      <c r="HM84" s="36"/>
      <c r="HN84" s="36"/>
      <c r="HO84" s="36"/>
      <c r="HP84" s="36"/>
      <c r="HQ84" s="36"/>
      <c r="HR84" s="36"/>
      <c r="HS84" s="36"/>
      <c r="HT84" s="36"/>
      <c r="HU84" s="36"/>
      <c r="HV84" s="36"/>
      <c r="HW84" s="36"/>
      <c r="HX84" s="36"/>
      <c r="HY84" s="36"/>
      <c r="HZ84" s="36"/>
      <c r="IA84" s="36"/>
      <c r="IB84" s="36"/>
      <c r="IC84" s="36"/>
      <c r="ID84" s="36"/>
      <c r="IE84" s="36"/>
      <c r="IF84" s="36"/>
      <c r="IG84" s="36"/>
      <c r="IH84" s="36"/>
      <c r="II84" s="36"/>
      <c r="IJ84" s="36"/>
      <c r="IK84" s="36"/>
      <c r="IL84" s="36"/>
      <c r="IM84" s="36"/>
      <c r="IN84" s="36"/>
      <c r="IO84" s="36"/>
      <c r="IP84" s="36"/>
      <c r="IQ84" s="36"/>
      <c r="IR84" s="36"/>
      <c r="IS84" s="36"/>
      <c r="IT84" s="36"/>
      <c r="IU84" s="36"/>
      <c r="IV84" s="36"/>
    </row>
    <row r="85" spans="1:256" s="35" customFormat="1" ht="15.75" hidden="1">
      <c r="A85" s="130"/>
      <c r="B85" s="131"/>
      <c r="C85" s="127" t="s">
        <v>291</v>
      </c>
      <c r="D85" s="137">
        <f>D57+D61</f>
        <v>0</v>
      </c>
      <c r="E85" s="137">
        <f>E57+E61</f>
        <v>0</v>
      </c>
      <c r="F85" s="137">
        <f>F57+F61</f>
        <v>0</v>
      </c>
      <c r="G85" s="137">
        <f>G57+G61</f>
        <v>0</v>
      </c>
      <c r="H85" s="137">
        <f>H57+H61</f>
        <v>0</v>
      </c>
      <c r="I85" s="137"/>
      <c r="J85" s="137">
        <f>J57+J61</f>
        <v>0</v>
      </c>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c r="GU85" s="36"/>
      <c r="GV85" s="36"/>
      <c r="GW85" s="36"/>
      <c r="GX85" s="36"/>
      <c r="GY85" s="36"/>
      <c r="GZ85" s="36"/>
      <c r="HA85" s="36"/>
      <c r="HB85" s="36"/>
      <c r="HC85" s="36"/>
      <c r="HD85" s="36"/>
      <c r="HE85" s="36"/>
      <c r="HF85" s="36"/>
      <c r="HG85" s="36"/>
      <c r="HH85" s="36"/>
      <c r="HI85" s="36"/>
      <c r="HJ85" s="36"/>
      <c r="HK85" s="36"/>
      <c r="HL85" s="36"/>
      <c r="HM85" s="36"/>
      <c r="HN85" s="36"/>
      <c r="HO85" s="36"/>
      <c r="HP85" s="36"/>
      <c r="HQ85" s="36"/>
      <c r="HR85" s="36"/>
      <c r="HS85" s="36"/>
      <c r="HT85" s="36"/>
      <c r="HU85" s="36"/>
      <c r="HV85" s="36"/>
      <c r="HW85" s="36"/>
      <c r="HX85" s="36"/>
      <c r="HY85" s="36"/>
      <c r="HZ85" s="36"/>
      <c r="IA85" s="36"/>
      <c r="IB85" s="36"/>
      <c r="IC85" s="36"/>
      <c r="ID85" s="36"/>
      <c r="IE85" s="36"/>
      <c r="IF85" s="36"/>
      <c r="IG85" s="36"/>
      <c r="IH85" s="36"/>
      <c r="II85" s="36"/>
      <c r="IJ85" s="36"/>
      <c r="IK85" s="36"/>
      <c r="IL85" s="36"/>
      <c r="IM85" s="36"/>
      <c r="IN85" s="36"/>
      <c r="IO85" s="36"/>
      <c r="IP85" s="36"/>
      <c r="IQ85" s="36"/>
      <c r="IR85" s="36"/>
      <c r="IS85" s="36"/>
      <c r="IT85" s="36"/>
      <c r="IU85" s="36"/>
      <c r="IV85" s="36"/>
    </row>
    <row r="86" spans="1:256" s="35" customFormat="1" ht="15.75" hidden="1">
      <c r="A86" s="130"/>
      <c r="B86" s="131"/>
      <c r="C86" s="127" t="s">
        <v>292</v>
      </c>
      <c r="D86" s="137" t="e">
        <f>#REF!</f>
        <v>#REF!</v>
      </c>
      <c r="E86" s="137" t="e">
        <f>#REF!</f>
        <v>#REF!</v>
      </c>
      <c r="F86" s="137" t="e">
        <f>#REF!</f>
        <v>#REF!</v>
      </c>
      <c r="G86" s="137" t="e">
        <f>#REF!</f>
        <v>#REF!</v>
      </c>
      <c r="H86" s="137" t="e">
        <f>#REF!</f>
        <v>#REF!</v>
      </c>
      <c r="I86" s="137"/>
      <c r="J86" s="137" t="e">
        <f>#REF!</f>
        <v>#REF!</v>
      </c>
      <c r="FW86" s="36"/>
      <c r="FX86" s="36"/>
      <c r="FY86" s="36"/>
      <c r="FZ86" s="36"/>
      <c r="GA86" s="36"/>
      <c r="GB86" s="36"/>
      <c r="GC86" s="36"/>
      <c r="GD86" s="36"/>
      <c r="GE86" s="36"/>
      <c r="GF86" s="36"/>
      <c r="GG86" s="36"/>
      <c r="GH86" s="36"/>
      <c r="GI86" s="36"/>
      <c r="GJ86" s="36"/>
      <c r="GK86" s="36"/>
      <c r="GL86" s="36"/>
      <c r="GM86" s="36"/>
      <c r="GN86" s="36"/>
      <c r="GO86" s="36"/>
      <c r="GP86" s="36"/>
      <c r="GQ86" s="36"/>
      <c r="GR86" s="36"/>
      <c r="GS86" s="36"/>
      <c r="GT86" s="36"/>
      <c r="GU86" s="36"/>
      <c r="GV86" s="36"/>
      <c r="GW86" s="36"/>
      <c r="GX86" s="36"/>
      <c r="GY86" s="36"/>
      <c r="GZ86" s="36"/>
      <c r="HA86" s="36"/>
      <c r="HB86" s="36"/>
      <c r="HC86" s="36"/>
      <c r="HD86" s="36"/>
      <c r="HE86" s="36"/>
      <c r="HF86" s="36"/>
      <c r="HG86" s="36"/>
      <c r="HH86" s="36"/>
      <c r="HI86" s="36"/>
      <c r="HJ86" s="36"/>
      <c r="HK86" s="36"/>
      <c r="HL86" s="36"/>
      <c r="HM86" s="36"/>
      <c r="HN86" s="36"/>
      <c r="HO86" s="36"/>
      <c r="HP86" s="36"/>
      <c r="HQ86" s="36"/>
      <c r="HR86" s="36"/>
      <c r="HS86" s="36"/>
      <c r="HT86" s="36"/>
      <c r="HU86" s="36"/>
      <c r="HV86" s="36"/>
      <c r="HW86" s="36"/>
      <c r="HX86" s="36"/>
      <c r="HY86" s="36"/>
      <c r="HZ86" s="36"/>
      <c r="IA86" s="36"/>
      <c r="IB86" s="36"/>
      <c r="IC86" s="36"/>
      <c r="ID86" s="36"/>
      <c r="IE86" s="36"/>
      <c r="IF86" s="36"/>
      <c r="IG86" s="36"/>
      <c r="IH86" s="36"/>
      <c r="II86" s="36"/>
      <c r="IJ86" s="36"/>
      <c r="IK86" s="36"/>
      <c r="IL86" s="36"/>
      <c r="IM86" s="36"/>
      <c r="IN86" s="36"/>
      <c r="IO86" s="36"/>
      <c r="IP86" s="36"/>
      <c r="IQ86" s="36"/>
      <c r="IR86" s="36"/>
      <c r="IS86" s="36"/>
      <c r="IT86" s="36"/>
      <c r="IU86" s="36"/>
      <c r="IV86" s="36"/>
    </row>
    <row r="87" spans="1:256" s="35" customFormat="1" ht="15.75" hidden="1">
      <c r="A87" s="130"/>
      <c r="B87" s="131"/>
      <c r="C87" s="127" t="s">
        <v>293</v>
      </c>
      <c r="D87" s="137" t="e">
        <f>D52+#REF!+#REF!+#REF!+#REF!+#REF!+#REF!</f>
        <v>#REF!</v>
      </c>
      <c r="E87" s="137" t="e">
        <f>E52+#REF!+#REF!+#REF!+#REF!+#REF!+#REF!</f>
        <v>#REF!</v>
      </c>
      <c r="F87" s="137" t="e">
        <f>F52+#REF!+#REF!+#REF!+#REF!+#REF!+#REF!</f>
        <v>#REF!</v>
      </c>
      <c r="G87" s="137" t="e">
        <f>G52+#REF!+#REF!+#REF!+#REF!+#REF!+#REF!</f>
        <v>#REF!</v>
      </c>
      <c r="H87" s="137" t="e">
        <f>H52+#REF!+#REF!+#REF!+#REF!+#REF!+#REF!</f>
        <v>#REF!</v>
      </c>
      <c r="I87" s="137"/>
      <c r="J87" s="137" t="e">
        <f>J52+#REF!+#REF!+#REF!+#REF!+#REF!+#REF!</f>
        <v>#REF!</v>
      </c>
      <c r="FW87" s="36"/>
      <c r="FX87" s="36"/>
      <c r="FY87" s="36"/>
      <c r="FZ87" s="36"/>
      <c r="GA87" s="36"/>
      <c r="GB87" s="36"/>
      <c r="GC87" s="36"/>
      <c r="GD87" s="36"/>
      <c r="GE87" s="36"/>
      <c r="GF87" s="36"/>
      <c r="GG87" s="36"/>
      <c r="GH87" s="36"/>
      <c r="GI87" s="36"/>
      <c r="GJ87" s="36"/>
      <c r="GK87" s="36"/>
      <c r="GL87" s="36"/>
      <c r="GM87" s="36"/>
      <c r="GN87" s="36"/>
      <c r="GO87" s="36"/>
      <c r="GP87" s="36"/>
      <c r="GQ87" s="36"/>
      <c r="GR87" s="36"/>
      <c r="GS87" s="36"/>
      <c r="GT87" s="36"/>
      <c r="GU87" s="36"/>
      <c r="GV87" s="36"/>
      <c r="GW87" s="36"/>
      <c r="GX87" s="36"/>
      <c r="GY87" s="36"/>
      <c r="GZ87" s="36"/>
      <c r="HA87" s="36"/>
      <c r="HB87" s="36"/>
      <c r="HC87" s="36"/>
      <c r="HD87" s="36"/>
      <c r="HE87" s="36"/>
      <c r="HF87" s="36"/>
      <c r="HG87" s="36"/>
      <c r="HH87" s="36"/>
      <c r="HI87" s="36"/>
      <c r="HJ87" s="36"/>
      <c r="HK87" s="36"/>
      <c r="HL87" s="36"/>
      <c r="HM87" s="36"/>
      <c r="HN87" s="36"/>
      <c r="HO87" s="36"/>
      <c r="HP87" s="36"/>
      <c r="HQ87" s="36"/>
      <c r="HR87" s="36"/>
      <c r="HS87" s="36"/>
      <c r="HT87" s="36"/>
      <c r="HU87" s="36"/>
      <c r="HV87" s="36"/>
      <c r="HW87" s="36"/>
      <c r="HX87" s="36"/>
      <c r="HY87" s="36"/>
      <c r="HZ87" s="36"/>
      <c r="IA87" s="36"/>
      <c r="IB87" s="36"/>
      <c r="IC87" s="36"/>
      <c r="ID87" s="36"/>
      <c r="IE87" s="36"/>
      <c r="IF87" s="36"/>
      <c r="IG87" s="36"/>
      <c r="IH87" s="36"/>
      <c r="II87" s="36"/>
      <c r="IJ87" s="36"/>
      <c r="IK87" s="36"/>
      <c r="IL87" s="36"/>
      <c r="IM87" s="36"/>
      <c r="IN87" s="36"/>
      <c r="IO87" s="36"/>
      <c r="IP87" s="36"/>
      <c r="IQ87" s="36"/>
      <c r="IR87" s="36"/>
      <c r="IS87" s="36"/>
      <c r="IT87" s="36"/>
      <c r="IU87" s="36"/>
      <c r="IV87" s="36"/>
    </row>
    <row r="88" spans="1:256" s="35" customFormat="1" ht="15.75" hidden="1">
      <c r="A88" s="130"/>
      <c r="B88" s="131"/>
      <c r="C88" s="127" t="s">
        <v>294</v>
      </c>
      <c r="D88" s="137" t="e">
        <f>#REF!</f>
        <v>#REF!</v>
      </c>
      <c r="E88" s="137" t="e">
        <f>#REF!</f>
        <v>#REF!</v>
      </c>
      <c r="F88" s="137" t="e">
        <f>#REF!</f>
        <v>#REF!</v>
      </c>
      <c r="G88" s="137" t="e">
        <f>#REF!</f>
        <v>#REF!</v>
      </c>
      <c r="H88" s="137" t="e">
        <f>#REF!</f>
        <v>#REF!</v>
      </c>
      <c r="I88" s="137"/>
      <c r="J88" s="137" t="e">
        <f>#REF!</f>
        <v>#REF!</v>
      </c>
      <c r="FW88" s="36"/>
      <c r="FX88" s="36"/>
      <c r="FY88" s="36"/>
      <c r="FZ88" s="36"/>
      <c r="GA88" s="36"/>
      <c r="GB88" s="36"/>
      <c r="GC88" s="36"/>
      <c r="GD88" s="36"/>
      <c r="GE88" s="36"/>
      <c r="GF88" s="36"/>
      <c r="GG88" s="36"/>
      <c r="GH88" s="36"/>
      <c r="GI88" s="36"/>
      <c r="GJ88" s="36"/>
      <c r="GK88" s="36"/>
      <c r="GL88" s="36"/>
      <c r="GM88" s="36"/>
      <c r="GN88" s="36"/>
      <c r="GO88" s="36"/>
      <c r="GP88" s="36"/>
      <c r="GQ88" s="36"/>
      <c r="GR88" s="36"/>
      <c r="GS88" s="36"/>
      <c r="GT88" s="36"/>
      <c r="GU88" s="36"/>
      <c r="GV88" s="36"/>
      <c r="GW88" s="36"/>
      <c r="GX88" s="36"/>
      <c r="GY88" s="36"/>
      <c r="GZ88" s="36"/>
      <c r="HA88" s="36"/>
      <c r="HB88" s="36"/>
      <c r="HC88" s="36"/>
      <c r="HD88" s="36"/>
      <c r="HE88" s="36"/>
      <c r="HF88" s="36"/>
      <c r="HG88" s="36"/>
      <c r="HH88" s="36"/>
      <c r="HI88" s="36"/>
      <c r="HJ88" s="36"/>
      <c r="HK88" s="36"/>
      <c r="HL88" s="36"/>
      <c r="HM88" s="36"/>
      <c r="HN88" s="36"/>
      <c r="HO88" s="36"/>
      <c r="HP88" s="36"/>
      <c r="HQ88" s="36"/>
      <c r="HR88" s="36"/>
      <c r="HS88" s="36"/>
      <c r="HT88" s="36"/>
      <c r="HU88" s="36"/>
      <c r="HV88" s="36"/>
      <c r="HW88" s="36"/>
      <c r="HX88" s="36"/>
      <c r="HY88" s="36"/>
      <c r="HZ88" s="36"/>
      <c r="IA88" s="36"/>
      <c r="IB88" s="36"/>
      <c r="IC88" s="36"/>
      <c r="ID88" s="36"/>
      <c r="IE88" s="36"/>
      <c r="IF88" s="36"/>
      <c r="IG88" s="36"/>
      <c r="IH88" s="36"/>
      <c r="II88" s="36"/>
      <c r="IJ88" s="36"/>
      <c r="IK88" s="36"/>
      <c r="IL88" s="36"/>
      <c r="IM88" s="36"/>
      <c r="IN88" s="36"/>
      <c r="IO88" s="36"/>
      <c r="IP88" s="36"/>
      <c r="IQ88" s="36"/>
      <c r="IR88" s="36"/>
      <c r="IS88" s="36"/>
      <c r="IT88" s="36"/>
      <c r="IU88" s="36"/>
      <c r="IV88" s="36"/>
    </row>
    <row r="89" spans="1:256" s="35" customFormat="1" ht="15.75" hidden="1">
      <c r="A89" s="130"/>
      <c r="B89" s="131"/>
      <c r="C89" s="127" t="s">
        <v>295</v>
      </c>
      <c r="D89" s="137" t="e">
        <f>#REF!+#REF!</f>
        <v>#REF!</v>
      </c>
      <c r="E89" s="137" t="e">
        <f>#REF!+#REF!</f>
        <v>#REF!</v>
      </c>
      <c r="F89" s="137" t="e">
        <f>#REF!+#REF!</f>
        <v>#REF!</v>
      </c>
      <c r="G89" s="137" t="e">
        <f>#REF!+#REF!</f>
        <v>#REF!</v>
      </c>
      <c r="H89" s="137" t="e">
        <f>#REF!+#REF!</f>
        <v>#REF!</v>
      </c>
      <c r="I89" s="137"/>
      <c r="J89" s="137" t="e">
        <f>#REF!+#REF!</f>
        <v>#REF!</v>
      </c>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c r="GU89" s="36"/>
      <c r="GV89" s="36"/>
      <c r="GW89" s="36"/>
      <c r="GX89" s="36"/>
      <c r="GY89" s="36"/>
      <c r="GZ89" s="36"/>
      <c r="HA89" s="36"/>
      <c r="HB89" s="36"/>
      <c r="HC89" s="36"/>
      <c r="HD89" s="36"/>
      <c r="HE89" s="36"/>
      <c r="HF89" s="36"/>
      <c r="HG89" s="36"/>
      <c r="HH89" s="36"/>
      <c r="HI89" s="36"/>
      <c r="HJ89" s="36"/>
      <c r="HK89" s="36"/>
      <c r="HL89" s="36"/>
      <c r="HM89" s="36"/>
      <c r="HN89" s="36"/>
      <c r="HO89" s="36"/>
      <c r="HP89" s="36"/>
      <c r="HQ89" s="36"/>
      <c r="HR89" s="36"/>
      <c r="HS89" s="36"/>
      <c r="HT89" s="36"/>
      <c r="HU89" s="36"/>
      <c r="HV89" s="36"/>
      <c r="HW89" s="36"/>
      <c r="HX89" s="36"/>
      <c r="HY89" s="36"/>
      <c r="HZ89" s="36"/>
      <c r="IA89" s="36"/>
      <c r="IB89" s="36"/>
      <c r="IC89" s="36"/>
      <c r="ID89" s="36"/>
      <c r="IE89" s="36"/>
      <c r="IF89" s="36"/>
      <c r="IG89" s="36"/>
      <c r="IH89" s="36"/>
      <c r="II89" s="36"/>
      <c r="IJ89" s="36"/>
      <c r="IK89" s="36"/>
      <c r="IL89" s="36"/>
      <c r="IM89" s="36"/>
      <c r="IN89" s="36"/>
      <c r="IO89" s="36"/>
      <c r="IP89" s="36"/>
      <c r="IQ89" s="36"/>
      <c r="IR89" s="36"/>
      <c r="IS89" s="36"/>
      <c r="IT89" s="36"/>
      <c r="IU89" s="36"/>
      <c r="IV89" s="36"/>
    </row>
    <row r="90" spans="1:256" s="35" customFormat="1" ht="15.75" hidden="1">
      <c r="A90" s="130"/>
      <c r="B90" s="131"/>
      <c r="C90" s="127" t="s">
        <v>296</v>
      </c>
      <c r="D90" s="137" t="e">
        <f>#REF!+#REF!</f>
        <v>#REF!</v>
      </c>
      <c r="E90" s="137" t="e">
        <f>#REF!+#REF!</f>
        <v>#REF!</v>
      </c>
      <c r="F90" s="137" t="e">
        <f>#REF!+#REF!</f>
        <v>#REF!</v>
      </c>
      <c r="G90" s="137" t="e">
        <f>#REF!+#REF!</f>
        <v>#REF!</v>
      </c>
      <c r="H90" s="137" t="e">
        <f>#REF!+#REF!</f>
        <v>#REF!</v>
      </c>
      <c r="I90" s="137"/>
      <c r="J90" s="137" t="e">
        <f>#REF!+#REF!</f>
        <v>#REF!</v>
      </c>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c r="GU90" s="36"/>
      <c r="GV90" s="36"/>
      <c r="GW90" s="36"/>
      <c r="GX90" s="36"/>
      <c r="GY90" s="36"/>
      <c r="GZ90" s="36"/>
      <c r="HA90" s="36"/>
      <c r="HB90" s="36"/>
      <c r="HC90" s="36"/>
      <c r="HD90" s="36"/>
      <c r="HE90" s="36"/>
      <c r="HF90" s="36"/>
      <c r="HG90" s="36"/>
      <c r="HH90" s="36"/>
      <c r="HI90" s="36"/>
      <c r="HJ90" s="36"/>
      <c r="HK90" s="36"/>
      <c r="HL90" s="36"/>
      <c r="HM90" s="36"/>
      <c r="HN90" s="36"/>
      <c r="HO90" s="36"/>
      <c r="HP90" s="36"/>
      <c r="HQ90" s="36"/>
      <c r="HR90" s="36"/>
      <c r="HS90" s="36"/>
      <c r="HT90" s="36"/>
      <c r="HU90" s="36"/>
      <c r="HV90" s="36"/>
      <c r="HW90" s="36"/>
      <c r="HX90" s="36"/>
      <c r="HY90" s="36"/>
      <c r="HZ90" s="36"/>
      <c r="IA90" s="36"/>
      <c r="IB90" s="36"/>
      <c r="IC90" s="36"/>
      <c r="ID90" s="36"/>
      <c r="IE90" s="36"/>
      <c r="IF90" s="36"/>
      <c r="IG90" s="36"/>
      <c r="IH90" s="36"/>
      <c r="II90" s="36"/>
      <c r="IJ90" s="36"/>
      <c r="IK90" s="36"/>
      <c r="IL90" s="36"/>
      <c r="IM90" s="36"/>
      <c r="IN90" s="36"/>
      <c r="IO90" s="36"/>
      <c r="IP90" s="36"/>
      <c r="IQ90" s="36"/>
      <c r="IR90" s="36"/>
      <c r="IS90" s="36"/>
      <c r="IT90" s="36"/>
      <c r="IU90" s="36"/>
      <c r="IV90" s="36"/>
    </row>
    <row r="91" spans="1:256" s="35" customFormat="1" ht="15.75" hidden="1">
      <c r="A91" s="130"/>
      <c r="B91" s="131"/>
      <c r="C91" s="127" t="s">
        <v>297</v>
      </c>
      <c r="D91" s="137" t="e">
        <f>D89+D90</f>
        <v>#REF!</v>
      </c>
      <c r="E91" s="137" t="e">
        <f>E89+E90</f>
        <v>#REF!</v>
      </c>
      <c r="F91" s="137" t="e">
        <f>F89+F90</f>
        <v>#REF!</v>
      </c>
      <c r="G91" s="137" t="e">
        <f>G89+G90</f>
        <v>#REF!</v>
      </c>
      <c r="H91" s="137" t="e">
        <f>H89+H90</f>
        <v>#REF!</v>
      </c>
      <c r="I91" s="137"/>
      <c r="J91" s="137" t="e">
        <f>J89+J90</f>
        <v>#REF!</v>
      </c>
      <c r="FW91" s="36"/>
      <c r="FX91" s="36"/>
      <c r="FY91" s="36"/>
      <c r="FZ91" s="36"/>
      <c r="GA91" s="36"/>
      <c r="GB91" s="36"/>
      <c r="GC91" s="36"/>
      <c r="GD91" s="36"/>
      <c r="GE91" s="36"/>
      <c r="GF91" s="36"/>
      <c r="GG91" s="36"/>
      <c r="GH91" s="36"/>
      <c r="GI91" s="36"/>
      <c r="GJ91" s="36"/>
      <c r="GK91" s="36"/>
      <c r="GL91" s="36"/>
      <c r="GM91" s="36"/>
      <c r="GN91" s="36"/>
      <c r="GO91" s="36"/>
      <c r="GP91" s="36"/>
      <c r="GQ91" s="36"/>
      <c r="GR91" s="36"/>
      <c r="GS91" s="36"/>
      <c r="GT91" s="36"/>
      <c r="GU91" s="36"/>
      <c r="GV91" s="36"/>
      <c r="GW91" s="36"/>
      <c r="GX91" s="36"/>
      <c r="GY91" s="36"/>
      <c r="GZ91" s="36"/>
      <c r="HA91" s="36"/>
      <c r="HB91" s="36"/>
      <c r="HC91" s="36"/>
      <c r="HD91" s="36"/>
      <c r="HE91" s="36"/>
      <c r="HF91" s="36"/>
      <c r="HG91" s="36"/>
      <c r="HH91" s="36"/>
      <c r="HI91" s="36"/>
      <c r="HJ91" s="36"/>
      <c r="HK91" s="36"/>
      <c r="HL91" s="36"/>
      <c r="HM91" s="36"/>
      <c r="HN91" s="36"/>
      <c r="HO91" s="36"/>
      <c r="HP91" s="36"/>
      <c r="HQ91" s="36"/>
      <c r="HR91" s="36"/>
      <c r="HS91" s="36"/>
      <c r="HT91" s="36"/>
      <c r="HU91" s="36"/>
      <c r="HV91" s="36"/>
      <c r="HW91" s="36"/>
      <c r="HX91" s="36"/>
      <c r="HY91" s="36"/>
      <c r="HZ91" s="36"/>
      <c r="IA91" s="36"/>
      <c r="IB91" s="36"/>
      <c r="IC91" s="36"/>
      <c r="ID91" s="36"/>
      <c r="IE91" s="36"/>
      <c r="IF91" s="36"/>
      <c r="IG91" s="36"/>
      <c r="IH91" s="36"/>
      <c r="II91" s="36"/>
      <c r="IJ91" s="36"/>
      <c r="IK91" s="36"/>
      <c r="IL91" s="36"/>
      <c r="IM91" s="36"/>
      <c r="IN91" s="36"/>
      <c r="IO91" s="36"/>
      <c r="IP91" s="36"/>
      <c r="IQ91" s="36"/>
      <c r="IR91" s="36"/>
      <c r="IS91" s="36"/>
      <c r="IT91" s="36"/>
      <c r="IU91" s="36"/>
      <c r="IV91" s="36"/>
    </row>
    <row r="92" spans="1:256" s="35" customFormat="1" ht="15.75" hidden="1">
      <c r="A92" s="130"/>
      <c r="B92" s="131"/>
      <c r="C92" s="127" t="s">
        <v>298</v>
      </c>
      <c r="D92" s="137" t="e">
        <f>((D8+#REF!)-(D76)-((#REF!+#REF!)-D91))</f>
        <v>#REF!</v>
      </c>
      <c r="E92" s="137" t="e">
        <f>((E8+#REF!)-(E76)-((#REF!+#REF!)-E91))</f>
        <v>#REF!</v>
      </c>
      <c r="F92" s="137" t="e">
        <f>((F8+#REF!)-(F76)-((#REF!+#REF!)-F91))</f>
        <v>#REF!</v>
      </c>
      <c r="G92" s="137" t="e">
        <f>((G8+#REF!)-(G76)-((#REF!+#REF!)-G91))</f>
        <v>#REF!</v>
      </c>
      <c r="H92" s="137" t="e">
        <f>((H8+#REF!)-(H76)-((#REF!+#REF!)-H91))</f>
        <v>#REF!</v>
      </c>
      <c r="I92" s="137"/>
      <c r="J92" s="137" t="e">
        <f>((J8+#REF!)-(J76)-((#REF!+#REF!)-J91))</f>
        <v>#REF!</v>
      </c>
      <c r="FW92" s="36"/>
      <c r="FX92" s="36"/>
      <c r="FY92" s="36"/>
      <c r="FZ92" s="36"/>
      <c r="GA92" s="36"/>
      <c r="GB92" s="36"/>
      <c r="GC92" s="36"/>
      <c r="GD92" s="36"/>
      <c r="GE92" s="36"/>
      <c r="GF92" s="36"/>
      <c r="GG92" s="36"/>
      <c r="GH92" s="36"/>
      <c r="GI92" s="36"/>
      <c r="GJ92" s="36"/>
      <c r="GK92" s="36"/>
      <c r="GL92" s="36"/>
      <c r="GM92" s="36"/>
      <c r="GN92" s="36"/>
      <c r="GO92" s="36"/>
      <c r="GP92" s="36"/>
      <c r="GQ92" s="36"/>
      <c r="GR92" s="36"/>
      <c r="GS92" s="36"/>
      <c r="GT92" s="36"/>
      <c r="GU92" s="36"/>
      <c r="GV92" s="36"/>
      <c r="GW92" s="36"/>
      <c r="GX92" s="36"/>
      <c r="GY92" s="36"/>
      <c r="GZ92" s="36"/>
      <c r="HA92" s="36"/>
      <c r="HB92" s="36"/>
      <c r="HC92" s="36"/>
      <c r="HD92" s="36"/>
      <c r="HE92" s="36"/>
      <c r="HF92" s="36"/>
      <c r="HG92" s="36"/>
      <c r="HH92" s="36"/>
      <c r="HI92" s="36"/>
      <c r="HJ92" s="36"/>
      <c r="HK92" s="36"/>
      <c r="HL92" s="36"/>
      <c r="HM92" s="36"/>
      <c r="HN92" s="36"/>
      <c r="HO92" s="36"/>
      <c r="HP92" s="36"/>
      <c r="HQ92" s="36"/>
      <c r="HR92" s="36"/>
      <c r="HS92" s="36"/>
      <c r="HT92" s="36"/>
      <c r="HU92" s="36"/>
      <c r="HV92" s="36"/>
      <c r="HW92" s="36"/>
      <c r="HX92" s="36"/>
      <c r="HY92" s="36"/>
      <c r="HZ92" s="36"/>
      <c r="IA92" s="36"/>
      <c r="IB92" s="36"/>
      <c r="IC92" s="36"/>
      <c r="ID92" s="36"/>
      <c r="IE92" s="36"/>
      <c r="IF92" s="36"/>
      <c r="IG92" s="36"/>
      <c r="IH92" s="36"/>
      <c r="II92" s="36"/>
      <c r="IJ92" s="36"/>
      <c r="IK92" s="36"/>
      <c r="IL92" s="36"/>
      <c r="IM92" s="36"/>
      <c r="IN92" s="36"/>
      <c r="IO92" s="36"/>
      <c r="IP92" s="36"/>
      <c r="IQ92" s="36"/>
      <c r="IR92" s="36"/>
      <c r="IS92" s="36"/>
      <c r="IT92" s="36"/>
      <c r="IU92" s="36"/>
      <c r="IV92" s="36"/>
    </row>
    <row r="93" spans="1:256" s="35" customFormat="1" ht="15.75" hidden="1">
      <c r="A93" s="130"/>
      <c r="B93" s="131"/>
      <c r="C93" s="138" t="s">
        <v>299</v>
      </c>
      <c r="D93" s="139" t="e">
        <f>-(D92-(D89-#REF!-#REF!-#REF!-#REF!))</f>
        <v>#REF!</v>
      </c>
      <c r="E93" s="139" t="e">
        <f>-(E92-(E89-#REF!-#REF!-#REF!-#REF!))</f>
        <v>#REF!</v>
      </c>
      <c r="F93" s="139" t="e">
        <f>-(F92-(F89-#REF!-#REF!-#REF!-#REF!))</f>
        <v>#REF!</v>
      </c>
      <c r="G93" s="139" t="e">
        <f>-(G92-(G89-#REF!-#REF!-#REF!-#REF!))</f>
        <v>#REF!</v>
      </c>
      <c r="H93" s="139" t="e">
        <f>-(H92-(H89-#REF!-#REF!-#REF!-#REF!))</f>
        <v>#REF!</v>
      </c>
      <c r="I93" s="139"/>
      <c r="J93" s="139" t="e">
        <f>-(J92-(J89-#REF!-#REF!-#REF!-#REF!))</f>
        <v>#REF!</v>
      </c>
      <c r="FW93" s="36"/>
      <c r="FX93" s="36"/>
      <c r="FY93" s="36"/>
      <c r="FZ93" s="36"/>
      <c r="GA93" s="36"/>
      <c r="GB93" s="36"/>
      <c r="GC93" s="36"/>
      <c r="GD93" s="36"/>
      <c r="GE93" s="36"/>
      <c r="GF93" s="36"/>
      <c r="GG93" s="36"/>
      <c r="GH93" s="36"/>
      <c r="GI93" s="36"/>
      <c r="GJ93" s="36"/>
      <c r="GK93" s="36"/>
      <c r="GL93" s="36"/>
      <c r="GM93" s="36"/>
      <c r="GN93" s="36"/>
      <c r="GO93" s="36"/>
      <c r="GP93" s="36"/>
      <c r="GQ93" s="36"/>
      <c r="GR93" s="36"/>
      <c r="GS93" s="36"/>
      <c r="GT93" s="36"/>
      <c r="GU93" s="36"/>
      <c r="GV93" s="36"/>
      <c r="GW93" s="36"/>
      <c r="GX93" s="36"/>
      <c r="GY93" s="36"/>
      <c r="GZ93" s="36"/>
      <c r="HA93" s="36"/>
      <c r="HB93" s="36"/>
      <c r="HC93" s="36"/>
      <c r="HD93" s="36"/>
      <c r="HE93" s="36"/>
      <c r="HF93" s="36"/>
      <c r="HG93" s="36"/>
      <c r="HH93" s="36"/>
      <c r="HI93" s="36"/>
      <c r="HJ93" s="36"/>
      <c r="HK93" s="36"/>
      <c r="HL93" s="36"/>
      <c r="HM93" s="36"/>
      <c r="HN93" s="36"/>
      <c r="HO93" s="36"/>
      <c r="HP93" s="36"/>
      <c r="HQ93" s="36"/>
      <c r="HR93" s="36"/>
      <c r="HS93" s="36"/>
      <c r="HT93" s="36"/>
      <c r="HU93" s="36"/>
      <c r="HV93" s="36"/>
      <c r="HW93" s="36"/>
      <c r="HX93" s="36"/>
      <c r="HY93" s="36"/>
      <c r="HZ93" s="36"/>
      <c r="IA93" s="36"/>
      <c r="IB93" s="36"/>
      <c r="IC93" s="36"/>
      <c r="ID93" s="36"/>
      <c r="IE93" s="36"/>
      <c r="IF93" s="36"/>
      <c r="IG93" s="36"/>
      <c r="IH93" s="36"/>
      <c r="II93" s="36"/>
      <c r="IJ93" s="36"/>
      <c r="IK93" s="36"/>
      <c r="IL93" s="36"/>
      <c r="IM93" s="36"/>
      <c r="IN93" s="36"/>
      <c r="IO93" s="36"/>
      <c r="IP93" s="36"/>
      <c r="IQ93" s="36"/>
      <c r="IR93" s="36"/>
      <c r="IS93" s="36"/>
      <c r="IT93" s="36"/>
      <c r="IU93" s="36"/>
      <c r="IV93" s="36"/>
    </row>
    <row r="94" spans="1:256" s="35" customFormat="1" ht="15.75">
      <c r="A94" s="130"/>
      <c r="B94" s="131"/>
      <c r="C94" s="140"/>
      <c r="D94" s="140"/>
      <c r="E94" s="140"/>
      <c r="F94" s="140"/>
      <c r="G94" s="140"/>
      <c r="H94" s="140"/>
      <c r="I94" s="140"/>
      <c r="J94" s="140"/>
      <c r="FW94" s="36"/>
      <c r="FX94" s="36"/>
      <c r="FY94" s="36"/>
      <c r="FZ94" s="36"/>
      <c r="GA94" s="36"/>
      <c r="GB94" s="36"/>
      <c r="GC94" s="36"/>
      <c r="GD94" s="36"/>
      <c r="GE94" s="36"/>
      <c r="GF94" s="36"/>
      <c r="GG94" s="36"/>
      <c r="GH94" s="36"/>
      <c r="GI94" s="36"/>
      <c r="GJ94" s="36"/>
      <c r="GK94" s="36"/>
      <c r="GL94" s="36"/>
      <c r="GM94" s="36"/>
      <c r="GN94" s="36"/>
      <c r="GO94" s="36"/>
      <c r="GP94" s="36"/>
      <c r="GQ94" s="36"/>
      <c r="GR94" s="36"/>
      <c r="GS94" s="36"/>
      <c r="GT94" s="36"/>
      <c r="GU94" s="36"/>
      <c r="GV94" s="36"/>
      <c r="GW94" s="36"/>
      <c r="GX94" s="36"/>
      <c r="GY94" s="36"/>
      <c r="GZ94" s="36"/>
      <c r="HA94" s="36"/>
      <c r="HB94" s="36"/>
      <c r="HC94" s="36"/>
      <c r="HD94" s="36"/>
      <c r="HE94" s="36"/>
      <c r="HF94" s="36"/>
      <c r="HG94" s="36"/>
      <c r="HH94" s="36"/>
      <c r="HI94" s="36"/>
      <c r="HJ94" s="36"/>
      <c r="HK94" s="36"/>
      <c r="HL94" s="36"/>
      <c r="HM94" s="36"/>
      <c r="HN94" s="36"/>
      <c r="HO94" s="36"/>
      <c r="HP94" s="36"/>
      <c r="HQ94" s="36"/>
      <c r="HR94" s="36"/>
      <c r="HS94" s="36"/>
      <c r="HT94" s="36"/>
      <c r="HU94" s="36"/>
      <c r="HV94" s="36"/>
      <c r="HW94" s="36"/>
      <c r="HX94" s="36"/>
      <c r="HY94" s="36"/>
      <c r="HZ94" s="36"/>
      <c r="IA94" s="36"/>
      <c r="IB94" s="36"/>
      <c r="IC94" s="36"/>
      <c r="ID94" s="36"/>
      <c r="IE94" s="36"/>
      <c r="IF94" s="36"/>
      <c r="IG94" s="36"/>
      <c r="IH94" s="36"/>
      <c r="II94" s="36"/>
      <c r="IJ94" s="36"/>
      <c r="IK94" s="36"/>
      <c r="IL94" s="36"/>
      <c r="IM94" s="36"/>
      <c r="IN94" s="36"/>
      <c r="IO94" s="36"/>
      <c r="IP94" s="36"/>
      <c r="IQ94" s="36"/>
      <c r="IR94" s="36"/>
      <c r="IS94" s="36"/>
      <c r="IT94" s="36"/>
      <c r="IU94" s="36"/>
      <c r="IV94" s="36"/>
    </row>
    <row r="95" spans="1:256" s="35" customFormat="1" ht="15.75">
      <c r="A95" s="103" t="s">
        <v>301</v>
      </c>
      <c r="B95" s="151"/>
      <c r="C95" s="142"/>
      <c r="D95" s="142"/>
      <c r="E95" s="142"/>
      <c r="F95" s="142"/>
      <c r="G95" s="142"/>
      <c r="H95" s="142"/>
      <c r="I95" s="142"/>
      <c r="J95" s="142"/>
      <c r="FW95" s="36"/>
      <c r="FX95" s="36"/>
      <c r="FY95" s="36"/>
      <c r="FZ95" s="36"/>
      <c r="GA95" s="36"/>
      <c r="GB95" s="36"/>
      <c r="GC95" s="36"/>
      <c r="GD95" s="36"/>
      <c r="GE95" s="36"/>
      <c r="GF95" s="36"/>
      <c r="GG95" s="36"/>
      <c r="GH95" s="36"/>
      <c r="GI95" s="36"/>
      <c r="GJ95" s="36"/>
      <c r="GK95" s="36"/>
      <c r="GL95" s="36"/>
      <c r="GM95" s="36"/>
      <c r="GN95" s="36"/>
      <c r="GO95" s="36"/>
      <c r="GP95" s="36"/>
      <c r="GQ95" s="36"/>
      <c r="GR95" s="36"/>
      <c r="GS95" s="36"/>
      <c r="GT95" s="36"/>
      <c r="GU95" s="36"/>
      <c r="GV95" s="36"/>
      <c r="GW95" s="36"/>
      <c r="GX95" s="36"/>
      <c r="GY95" s="36"/>
      <c r="GZ95" s="36"/>
      <c r="HA95" s="36"/>
      <c r="HB95" s="36"/>
      <c r="HC95" s="36"/>
      <c r="HD95" s="36"/>
      <c r="HE95" s="36"/>
      <c r="HF95" s="36"/>
      <c r="HG95" s="36"/>
      <c r="HH95" s="36"/>
      <c r="HI95" s="36"/>
      <c r="HJ95" s="36"/>
      <c r="HK95" s="36"/>
      <c r="HL95" s="36"/>
      <c r="HM95" s="36"/>
      <c r="HN95" s="36"/>
      <c r="HO95" s="36"/>
      <c r="HP95" s="36"/>
      <c r="HQ95" s="36"/>
      <c r="HR95" s="36"/>
      <c r="HS95" s="36"/>
      <c r="HT95" s="36"/>
      <c r="HU95" s="36"/>
      <c r="HV95" s="36"/>
      <c r="HW95" s="36"/>
      <c r="HX95" s="36"/>
      <c r="HY95" s="36"/>
      <c r="HZ95" s="36"/>
      <c r="IA95" s="36"/>
      <c r="IB95" s="36"/>
      <c r="IC95" s="36"/>
      <c r="ID95" s="36"/>
      <c r="IE95" s="36"/>
      <c r="IF95" s="36"/>
      <c r="IG95" s="36"/>
      <c r="IH95" s="36"/>
      <c r="II95" s="36"/>
      <c r="IJ95" s="36"/>
      <c r="IK95" s="36"/>
      <c r="IL95" s="36"/>
      <c r="IM95" s="36"/>
      <c r="IN95" s="36"/>
      <c r="IO95" s="36"/>
      <c r="IP95" s="36"/>
      <c r="IQ95" s="36"/>
      <c r="IR95" s="36"/>
      <c r="IS95" s="36"/>
      <c r="IT95" s="36"/>
      <c r="IU95" s="36"/>
      <c r="IV95" s="36"/>
    </row>
    <row r="96" spans="1:256" s="35" customFormat="1" ht="15.75">
      <c r="A96" s="143" t="s">
        <v>302</v>
      </c>
      <c r="B96" s="151"/>
      <c r="C96" s="142"/>
      <c r="D96" s="142"/>
      <c r="E96" s="142"/>
      <c r="F96" s="142"/>
      <c r="G96" s="142"/>
      <c r="H96" s="142"/>
      <c r="I96" s="142"/>
      <c r="J96" s="142"/>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c r="GU96" s="36"/>
      <c r="GV96" s="36"/>
      <c r="GW96" s="36"/>
      <c r="GX96" s="36"/>
      <c r="GY96" s="36"/>
      <c r="GZ96" s="36"/>
      <c r="HA96" s="36"/>
      <c r="HB96" s="36"/>
      <c r="HC96" s="36"/>
      <c r="HD96" s="36"/>
      <c r="HE96" s="36"/>
      <c r="HF96" s="36"/>
      <c r="HG96" s="36"/>
      <c r="HH96" s="36"/>
      <c r="HI96" s="36"/>
      <c r="HJ96" s="36"/>
      <c r="HK96" s="36"/>
      <c r="HL96" s="36"/>
      <c r="HM96" s="36"/>
      <c r="HN96" s="36"/>
      <c r="HO96" s="36"/>
      <c r="HP96" s="36"/>
      <c r="HQ96" s="36"/>
      <c r="HR96" s="36"/>
      <c r="HS96" s="36"/>
      <c r="HT96" s="36"/>
      <c r="HU96" s="36"/>
      <c r="HV96" s="36"/>
      <c r="HW96" s="36"/>
      <c r="HX96" s="36"/>
      <c r="HY96" s="36"/>
      <c r="HZ96" s="36"/>
      <c r="IA96" s="36"/>
      <c r="IB96" s="36"/>
      <c r="IC96" s="36"/>
      <c r="ID96" s="36"/>
      <c r="IE96" s="36"/>
      <c r="IF96" s="36"/>
      <c r="IG96" s="36"/>
      <c r="IH96" s="36"/>
      <c r="II96" s="36"/>
      <c r="IJ96" s="36"/>
      <c r="IK96" s="36"/>
      <c r="IL96" s="36"/>
      <c r="IM96" s="36"/>
      <c r="IN96" s="36"/>
      <c r="IO96" s="36"/>
      <c r="IP96" s="36"/>
      <c r="IQ96" s="36"/>
      <c r="IR96" s="36"/>
      <c r="IS96" s="36"/>
      <c r="IT96" s="36"/>
      <c r="IU96" s="36"/>
      <c r="IV96" s="36"/>
    </row>
    <row r="97" spans="1:256" s="35" customFormat="1" ht="15.75">
      <c r="A97" s="36"/>
      <c r="B97" s="141"/>
      <c r="C97" s="142"/>
      <c r="D97" s="142"/>
      <c r="E97" s="142"/>
      <c r="F97" s="142"/>
      <c r="G97" s="142"/>
      <c r="H97" s="142"/>
      <c r="I97" s="142"/>
      <c r="J97" s="142"/>
      <c r="FW97" s="36"/>
      <c r="FX97" s="36"/>
      <c r="FY97" s="36"/>
      <c r="FZ97" s="36"/>
      <c r="GA97" s="36"/>
      <c r="GB97" s="36"/>
      <c r="GC97" s="36"/>
      <c r="GD97" s="36"/>
      <c r="GE97" s="36"/>
      <c r="GF97" s="36"/>
      <c r="GG97" s="36"/>
      <c r="GH97" s="36"/>
      <c r="GI97" s="36"/>
      <c r="GJ97" s="36"/>
      <c r="GK97" s="36"/>
      <c r="GL97" s="36"/>
      <c r="GM97" s="36"/>
      <c r="GN97" s="36"/>
      <c r="GO97" s="36"/>
      <c r="GP97" s="36"/>
      <c r="GQ97" s="36"/>
      <c r="GR97" s="36"/>
      <c r="GS97" s="36"/>
      <c r="GT97" s="36"/>
      <c r="GU97" s="36"/>
      <c r="GV97" s="36"/>
      <c r="GW97" s="36"/>
      <c r="GX97" s="36"/>
      <c r="GY97" s="36"/>
      <c r="GZ97" s="36"/>
      <c r="HA97" s="36"/>
      <c r="HB97" s="36"/>
      <c r="HC97" s="36"/>
      <c r="HD97" s="36"/>
      <c r="HE97" s="36"/>
      <c r="HF97" s="36"/>
      <c r="HG97" s="36"/>
      <c r="HH97" s="36"/>
      <c r="HI97" s="36"/>
      <c r="HJ97" s="36"/>
      <c r="HK97" s="36"/>
      <c r="HL97" s="36"/>
      <c r="HM97" s="36"/>
      <c r="HN97" s="36"/>
      <c r="HO97" s="36"/>
      <c r="HP97" s="36"/>
      <c r="HQ97" s="36"/>
      <c r="HR97" s="36"/>
      <c r="HS97" s="36"/>
      <c r="HT97" s="36"/>
      <c r="HU97" s="36"/>
      <c r="HV97" s="36"/>
      <c r="HW97" s="36"/>
      <c r="HX97" s="36"/>
      <c r="HY97" s="36"/>
      <c r="HZ97" s="36"/>
      <c r="IA97" s="36"/>
      <c r="IB97" s="36"/>
      <c r="IC97" s="36"/>
      <c r="ID97" s="36"/>
      <c r="IE97" s="36"/>
      <c r="IF97" s="36"/>
      <c r="IG97" s="36"/>
      <c r="IH97" s="36"/>
      <c r="II97" s="36"/>
      <c r="IJ97" s="36"/>
      <c r="IK97" s="36"/>
      <c r="IL97" s="36"/>
      <c r="IM97" s="36"/>
      <c r="IN97" s="36"/>
      <c r="IO97" s="36"/>
      <c r="IP97" s="36"/>
      <c r="IQ97" s="36"/>
      <c r="IR97" s="36"/>
      <c r="IS97" s="36"/>
      <c r="IT97" s="36"/>
      <c r="IU97" s="36"/>
      <c r="IV97" s="36"/>
    </row>
    <row r="98" spans="1:256" s="35" customFormat="1" ht="15.75">
      <c r="A98" s="36"/>
      <c r="B98" s="141"/>
      <c r="C98" s="142"/>
      <c r="D98" s="142"/>
      <c r="E98" s="142"/>
      <c r="F98" s="142"/>
      <c r="G98" s="142"/>
      <c r="H98" s="142"/>
      <c r="I98" s="142"/>
      <c r="J98" s="142"/>
      <c r="FW98" s="36"/>
      <c r="FX98" s="36"/>
      <c r="FY98" s="36"/>
      <c r="FZ98" s="36"/>
      <c r="GA98" s="36"/>
      <c r="GB98" s="36"/>
      <c r="GC98" s="36"/>
      <c r="GD98" s="36"/>
      <c r="GE98" s="36"/>
      <c r="GF98" s="36"/>
      <c r="GG98" s="36"/>
      <c r="GH98" s="36"/>
      <c r="GI98" s="36"/>
      <c r="GJ98" s="36"/>
      <c r="GK98" s="36"/>
      <c r="GL98" s="36"/>
      <c r="GM98" s="36"/>
      <c r="GN98" s="36"/>
      <c r="GO98" s="36"/>
      <c r="GP98" s="36"/>
      <c r="GQ98" s="36"/>
      <c r="GR98" s="36"/>
      <c r="GS98" s="36"/>
      <c r="GT98" s="36"/>
      <c r="GU98" s="36"/>
      <c r="GV98" s="36"/>
      <c r="GW98" s="36"/>
      <c r="GX98" s="36"/>
      <c r="GY98" s="36"/>
      <c r="GZ98" s="36"/>
      <c r="HA98" s="36"/>
      <c r="HB98" s="36"/>
      <c r="HC98" s="36"/>
      <c r="HD98" s="36"/>
      <c r="HE98" s="36"/>
      <c r="HF98" s="36"/>
      <c r="HG98" s="36"/>
      <c r="HH98" s="36"/>
      <c r="HI98" s="36"/>
      <c r="HJ98" s="36"/>
      <c r="HK98" s="36"/>
      <c r="HL98" s="36"/>
      <c r="HM98" s="36"/>
      <c r="HN98" s="36"/>
      <c r="HO98" s="36"/>
      <c r="HP98" s="36"/>
      <c r="HQ98" s="36"/>
      <c r="HR98" s="36"/>
      <c r="HS98" s="36"/>
      <c r="HT98" s="36"/>
      <c r="HU98" s="36"/>
      <c r="HV98" s="36"/>
      <c r="HW98" s="36"/>
      <c r="HX98" s="36"/>
      <c r="HY98" s="36"/>
      <c r="HZ98" s="36"/>
      <c r="IA98" s="36"/>
      <c r="IB98" s="36"/>
      <c r="IC98" s="36"/>
      <c r="ID98" s="36"/>
      <c r="IE98" s="36"/>
      <c r="IF98" s="36"/>
      <c r="IG98" s="36"/>
      <c r="IH98" s="36"/>
      <c r="II98" s="36"/>
      <c r="IJ98" s="36"/>
      <c r="IK98" s="36"/>
      <c r="IL98" s="36"/>
      <c r="IM98" s="36"/>
      <c r="IN98" s="36"/>
      <c r="IO98" s="36"/>
      <c r="IP98" s="36"/>
      <c r="IQ98" s="36"/>
      <c r="IR98" s="36"/>
      <c r="IS98" s="36"/>
      <c r="IT98" s="36"/>
      <c r="IU98" s="36"/>
      <c r="IV98" s="36"/>
    </row>
    <row r="99" spans="1:256" s="35" customFormat="1" ht="15.75">
      <c r="A99" s="36"/>
      <c r="B99" s="141"/>
      <c r="C99" s="22"/>
      <c r="D99" s="142"/>
      <c r="E99" s="142"/>
      <c r="F99" s="142"/>
      <c r="G99" s="142"/>
      <c r="H99" s="142"/>
      <c r="I99" s="142"/>
      <c r="J99" s="142"/>
      <c r="FW99" s="36"/>
      <c r="FX99" s="36"/>
      <c r="FY99" s="36"/>
      <c r="FZ99" s="36"/>
      <c r="GA99" s="36"/>
      <c r="GB99" s="36"/>
      <c r="GC99" s="36"/>
      <c r="GD99" s="36"/>
      <c r="GE99" s="36"/>
      <c r="GF99" s="36"/>
      <c r="GG99" s="36"/>
      <c r="GH99" s="36"/>
      <c r="GI99" s="36"/>
      <c r="GJ99" s="36"/>
      <c r="GK99" s="36"/>
      <c r="GL99" s="36"/>
      <c r="GM99" s="36"/>
      <c r="GN99" s="36"/>
      <c r="GO99" s="36"/>
      <c r="GP99" s="36"/>
      <c r="GQ99" s="36"/>
      <c r="GR99" s="36"/>
      <c r="GS99" s="36"/>
      <c r="GT99" s="36"/>
      <c r="GU99" s="36"/>
      <c r="GV99" s="36"/>
      <c r="GW99" s="36"/>
      <c r="GX99" s="36"/>
      <c r="GY99" s="36"/>
      <c r="GZ99" s="36"/>
      <c r="HA99" s="36"/>
      <c r="HB99" s="36"/>
      <c r="HC99" s="36"/>
      <c r="HD99" s="36"/>
      <c r="HE99" s="36"/>
      <c r="HF99" s="36"/>
      <c r="HG99" s="36"/>
      <c r="HH99" s="36"/>
      <c r="HI99" s="36"/>
      <c r="HJ99" s="36"/>
      <c r="HK99" s="36"/>
      <c r="HL99" s="36"/>
      <c r="HM99" s="36"/>
      <c r="HN99" s="36"/>
      <c r="HO99" s="36"/>
      <c r="HP99" s="36"/>
      <c r="HQ99" s="36"/>
      <c r="HR99" s="36"/>
      <c r="HS99" s="36"/>
      <c r="HT99" s="36"/>
      <c r="HU99" s="36"/>
      <c r="HV99" s="36"/>
      <c r="HW99" s="36"/>
      <c r="HX99" s="36"/>
      <c r="HY99" s="36"/>
      <c r="HZ99" s="36"/>
      <c r="IA99" s="36"/>
      <c r="IB99" s="36"/>
      <c r="IC99" s="36"/>
      <c r="ID99" s="36"/>
      <c r="IE99" s="36"/>
      <c r="IF99" s="36"/>
      <c r="IG99" s="36"/>
      <c r="IH99" s="36"/>
      <c r="II99" s="36"/>
      <c r="IJ99" s="36"/>
      <c r="IK99" s="36"/>
      <c r="IL99" s="36"/>
      <c r="IM99" s="36"/>
      <c r="IN99" s="36"/>
      <c r="IO99" s="36"/>
      <c r="IP99" s="36"/>
      <c r="IQ99" s="36"/>
      <c r="IR99" s="36"/>
      <c r="IS99" s="36"/>
      <c r="IT99" s="36"/>
      <c r="IU99" s="36"/>
      <c r="IV99" s="36"/>
    </row>
    <row r="100" spans="1:256" s="35" customFormat="1" ht="15.75">
      <c r="A100" s="36"/>
      <c r="B100" s="141"/>
      <c r="C100" s="142"/>
      <c r="D100" s="142"/>
      <c r="E100" s="142"/>
      <c r="F100" s="142"/>
      <c r="G100" s="142"/>
      <c r="H100" s="142"/>
      <c r="I100" s="142"/>
      <c r="J100" s="142"/>
      <c r="FW100" s="36"/>
      <c r="FX100" s="36"/>
      <c r="FY100" s="36"/>
      <c r="FZ100" s="36"/>
      <c r="GA100" s="36"/>
      <c r="GB100" s="36"/>
      <c r="GC100" s="36"/>
      <c r="GD100" s="36"/>
      <c r="GE100" s="36"/>
      <c r="GF100" s="36"/>
      <c r="GG100" s="36"/>
      <c r="GH100" s="36"/>
      <c r="GI100" s="36"/>
      <c r="GJ100" s="36"/>
      <c r="GK100" s="36"/>
      <c r="GL100" s="36"/>
      <c r="GM100" s="36"/>
      <c r="GN100" s="36"/>
      <c r="GO100" s="36"/>
      <c r="GP100" s="36"/>
      <c r="GQ100" s="36"/>
      <c r="GR100" s="36"/>
      <c r="GS100" s="36"/>
      <c r="GT100" s="36"/>
      <c r="GU100" s="36"/>
      <c r="GV100" s="36"/>
      <c r="GW100" s="36"/>
      <c r="GX100" s="36"/>
      <c r="GY100" s="36"/>
      <c r="GZ100" s="36"/>
      <c r="HA100" s="36"/>
      <c r="HB100" s="36"/>
      <c r="HC100" s="36"/>
      <c r="HD100" s="36"/>
      <c r="HE100" s="36"/>
      <c r="HF100" s="36"/>
      <c r="HG100" s="36"/>
      <c r="HH100" s="36"/>
      <c r="HI100" s="36"/>
      <c r="HJ100" s="36"/>
      <c r="HK100" s="36"/>
      <c r="HL100" s="36"/>
      <c r="HM100" s="36"/>
      <c r="HN100" s="36"/>
      <c r="HO100" s="36"/>
      <c r="HP100" s="36"/>
      <c r="HQ100" s="36"/>
      <c r="HR100" s="36"/>
      <c r="HS100" s="36"/>
      <c r="HT100" s="36"/>
      <c r="HU100" s="36"/>
      <c r="HV100" s="36"/>
      <c r="HW100" s="36"/>
      <c r="HX100" s="36"/>
      <c r="HY100" s="36"/>
      <c r="HZ100" s="36"/>
      <c r="IA100" s="36"/>
      <c r="IB100" s="36"/>
      <c r="IC100" s="36"/>
      <c r="ID100" s="36"/>
      <c r="IE100" s="36"/>
      <c r="IF100" s="36"/>
      <c r="IG100" s="36"/>
      <c r="IH100" s="36"/>
      <c r="II100" s="36"/>
      <c r="IJ100" s="36"/>
      <c r="IK100" s="36"/>
      <c r="IL100" s="36"/>
      <c r="IM100" s="36"/>
      <c r="IN100" s="36"/>
      <c r="IO100" s="36"/>
      <c r="IP100" s="36"/>
      <c r="IQ100" s="36"/>
      <c r="IR100" s="36"/>
      <c r="IS100" s="36"/>
      <c r="IT100" s="36"/>
      <c r="IU100" s="36"/>
      <c r="IV100" s="36"/>
    </row>
    <row r="101" spans="1:256" s="35" customFormat="1" ht="15.75">
      <c r="A101" s="36"/>
      <c r="B101" s="141"/>
      <c r="C101" s="142"/>
      <c r="D101" s="142"/>
      <c r="E101" s="142"/>
      <c r="F101" s="142"/>
      <c r="G101" s="142"/>
      <c r="H101" s="142"/>
      <c r="I101" s="142"/>
      <c r="J101" s="142"/>
      <c r="FW101" s="36"/>
      <c r="FX101" s="36"/>
      <c r="FY101" s="36"/>
      <c r="FZ101" s="36"/>
      <c r="GA101" s="36"/>
      <c r="GB101" s="36"/>
      <c r="GC101" s="36"/>
      <c r="GD101" s="36"/>
      <c r="GE101" s="36"/>
      <c r="GF101" s="36"/>
      <c r="GG101" s="36"/>
      <c r="GH101" s="36"/>
      <c r="GI101" s="36"/>
      <c r="GJ101" s="36"/>
      <c r="GK101" s="36"/>
      <c r="GL101" s="36"/>
      <c r="GM101" s="36"/>
      <c r="GN101" s="36"/>
      <c r="GO101" s="36"/>
      <c r="GP101" s="36"/>
      <c r="GQ101" s="36"/>
      <c r="GR101" s="36"/>
      <c r="GS101" s="36"/>
      <c r="GT101" s="36"/>
      <c r="GU101" s="36"/>
      <c r="GV101" s="36"/>
      <c r="GW101" s="36"/>
      <c r="GX101" s="36"/>
      <c r="GY101" s="36"/>
      <c r="GZ101" s="36"/>
      <c r="HA101" s="36"/>
      <c r="HB101" s="36"/>
      <c r="HC101" s="36"/>
      <c r="HD101" s="36"/>
      <c r="HE101" s="36"/>
      <c r="HF101" s="36"/>
      <c r="HG101" s="36"/>
      <c r="HH101" s="36"/>
      <c r="HI101" s="36"/>
      <c r="HJ101" s="36"/>
      <c r="HK101" s="36"/>
      <c r="HL101" s="36"/>
      <c r="HM101" s="36"/>
      <c r="HN101" s="36"/>
      <c r="HO101" s="36"/>
      <c r="HP101" s="36"/>
      <c r="HQ101" s="36"/>
      <c r="HR101" s="36"/>
      <c r="HS101" s="36"/>
      <c r="HT101" s="36"/>
      <c r="HU101" s="36"/>
      <c r="HV101" s="36"/>
      <c r="HW101" s="36"/>
      <c r="HX101" s="36"/>
      <c r="HY101" s="36"/>
      <c r="HZ101" s="36"/>
      <c r="IA101" s="36"/>
      <c r="IB101" s="36"/>
      <c r="IC101" s="36"/>
      <c r="ID101" s="36"/>
      <c r="IE101" s="36"/>
      <c r="IF101" s="36"/>
      <c r="IG101" s="36"/>
      <c r="IH101" s="36"/>
      <c r="II101" s="36"/>
      <c r="IJ101" s="36"/>
      <c r="IK101" s="36"/>
      <c r="IL101" s="36"/>
      <c r="IM101" s="36"/>
      <c r="IN101" s="36"/>
      <c r="IO101" s="36"/>
      <c r="IP101" s="36"/>
      <c r="IQ101" s="36"/>
      <c r="IR101" s="36"/>
      <c r="IS101" s="36"/>
      <c r="IT101" s="36"/>
      <c r="IU101" s="36"/>
      <c r="IV101" s="36"/>
    </row>
    <row r="102" spans="1:256" s="35" customFormat="1" ht="15.75">
      <c r="A102" s="36"/>
      <c r="B102" s="141"/>
      <c r="C102" s="142"/>
      <c r="D102" s="142"/>
      <c r="E102" s="142"/>
      <c r="F102" s="142"/>
      <c r="G102" s="142"/>
      <c r="H102" s="142"/>
      <c r="I102" s="142"/>
      <c r="J102" s="142"/>
      <c r="FW102" s="36"/>
      <c r="FX102" s="36"/>
      <c r="FY102" s="36"/>
      <c r="FZ102" s="36"/>
      <c r="GA102" s="36"/>
      <c r="GB102" s="36"/>
      <c r="GC102" s="36"/>
      <c r="GD102" s="36"/>
      <c r="GE102" s="36"/>
      <c r="GF102" s="36"/>
      <c r="GG102" s="36"/>
      <c r="GH102" s="36"/>
      <c r="GI102" s="36"/>
      <c r="GJ102" s="36"/>
      <c r="GK102" s="36"/>
      <c r="GL102" s="36"/>
      <c r="GM102" s="36"/>
      <c r="GN102" s="36"/>
      <c r="GO102" s="36"/>
      <c r="GP102" s="36"/>
      <c r="GQ102" s="36"/>
      <c r="GR102" s="36"/>
      <c r="GS102" s="36"/>
      <c r="GT102" s="36"/>
      <c r="GU102" s="36"/>
      <c r="GV102" s="36"/>
      <c r="GW102" s="36"/>
      <c r="GX102" s="36"/>
      <c r="GY102" s="36"/>
      <c r="GZ102" s="36"/>
      <c r="HA102" s="36"/>
      <c r="HB102" s="36"/>
      <c r="HC102" s="36"/>
      <c r="HD102" s="36"/>
      <c r="HE102" s="36"/>
      <c r="HF102" s="36"/>
      <c r="HG102" s="36"/>
      <c r="HH102" s="36"/>
      <c r="HI102" s="36"/>
      <c r="HJ102" s="36"/>
      <c r="HK102" s="36"/>
      <c r="HL102" s="36"/>
      <c r="HM102" s="36"/>
      <c r="HN102" s="36"/>
      <c r="HO102" s="36"/>
      <c r="HP102" s="36"/>
      <c r="HQ102" s="36"/>
      <c r="HR102" s="36"/>
      <c r="HS102" s="36"/>
      <c r="HT102" s="36"/>
      <c r="HU102" s="36"/>
      <c r="HV102" s="36"/>
      <c r="HW102" s="36"/>
      <c r="HX102" s="36"/>
      <c r="HY102" s="36"/>
      <c r="HZ102" s="36"/>
      <c r="IA102" s="36"/>
      <c r="IB102" s="36"/>
      <c r="IC102" s="36"/>
      <c r="ID102" s="36"/>
      <c r="IE102" s="36"/>
      <c r="IF102" s="36"/>
      <c r="IG102" s="36"/>
      <c r="IH102" s="36"/>
      <c r="II102" s="36"/>
      <c r="IJ102" s="36"/>
      <c r="IK102" s="36"/>
      <c r="IL102" s="36"/>
      <c r="IM102" s="36"/>
      <c r="IN102" s="36"/>
      <c r="IO102" s="36"/>
      <c r="IP102" s="36"/>
      <c r="IQ102" s="36"/>
      <c r="IR102" s="36"/>
      <c r="IS102" s="36"/>
      <c r="IT102" s="36"/>
      <c r="IU102" s="36"/>
      <c r="IV102" s="36"/>
    </row>
    <row r="103" spans="1:256" s="35" customFormat="1" ht="15.75">
      <c r="A103" s="36"/>
      <c r="B103" s="141"/>
      <c r="C103" s="142"/>
      <c r="D103" s="142"/>
      <c r="E103" s="142"/>
      <c r="F103" s="142"/>
      <c r="G103" s="142"/>
      <c r="H103" s="142"/>
      <c r="I103" s="142"/>
      <c r="J103" s="142"/>
      <c r="FW103" s="36"/>
      <c r="FX103" s="36"/>
      <c r="FY103" s="36"/>
      <c r="FZ103" s="36"/>
      <c r="GA103" s="36"/>
      <c r="GB103" s="36"/>
      <c r="GC103" s="36"/>
      <c r="GD103" s="36"/>
      <c r="GE103" s="36"/>
      <c r="GF103" s="36"/>
      <c r="GG103" s="36"/>
      <c r="GH103" s="36"/>
      <c r="GI103" s="36"/>
      <c r="GJ103" s="36"/>
      <c r="GK103" s="36"/>
      <c r="GL103" s="36"/>
      <c r="GM103" s="36"/>
      <c r="GN103" s="36"/>
      <c r="GO103" s="36"/>
      <c r="GP103" s="36"/>
      <c r="GQ103" s="36"/>
      <c r="GR103" s="36"/>
      <c r="GS103" s="36"/>
      <c r="GT103" s="36"/>
      <c r="GU103" s="36"/>
      <c r="GV103" s="36"/>
      <c r="GW103" s="36"/>
      <c r="GX103" s="36"/>
      <c r="GY103" s="36"/>
      <c r="GZ103" s="36"/>
      <c r="HA103" s="36"/>
      <c r="HB103" s="36"/>
      <c r="HC103" s="36"/>
      <c r="HD103" s="36"/>
      <c r="HE103" s="36"/>
      <c r="HF103" s="36"/>
      <c r="HG103" s="36"/>
      <c r="HH103" s="36"/>
      <c r="HI103" s="36"/>
      <c r="HJ103" s="36"/>
      <c r="HK103" s="36"/>
      <c r="HL103" s="36"/>
      <c r="HM103" s="36"/>
      <c r="HN103" s="36"/>
      <c r="HO103" s="36"/>
      <c r="HP103" s="36"/>
      <c r="HQ103" s="36"/>
      <c r="HR103" s="36"/>
      <c r="HS103" s="36"/>
      <c r="HT103" s="36"/>
      <c r="HU103" s="36"/>
      <c r="HV103" s="36"/>
      <c r="HW103" s="36"/>
      <c r="HX103" s="36"/>
      <c r="HY103" s="36"/>
      <c r="HZ103" s="36"/>
      <c r="IA103" s="36"/>
      <c r="IB103" s="36"/>
      <c r="IC103" s="36"/>
      <c r="ID103" s="36"/>
      <c r="IE103" s="36"/>
      <c r="IF103" s="36"/>
      <c r="IG103" s="36"/>
      <c r="IH103" s="36"/>
      <c r="II103" s="36"/>
      <c r="IJ103" s="36"/>
      <c r="IK103" s="36"/>
      <c r="IL103" s="36"/>
      <c r="IM103" s="36"/>
      <c r="IN103" s="36"/>
      <c r="IO103" s="36"/>
      <c r="IP103" s="36"/>
      <c r="IQ103" s="36"/>
      <c r="IR103" s="36"/>
      <c r="IS103" s="36"/>
      <c r="IT103" s="36"/>
      <c r="IU103" s="36"/>
      <c r="IV103" s="36"/>
    </row>
    <row r="104" spans="1:256" s="35" customFormat="1" ht="15.75">
      <c r="A104" s="36"/>
      <c r="B104" s="141"/>
      <c r="C104" s="142"/>
      <c r="D104" s="142"/>
      <c r="E104" s="142"/>
      <c r="F104" s="142"/>
      <c r="G104" s="142"/>
      <c r="H104" s="142"/>
      <c r="I104" s="142"/>
      <c r="J104" s="142"/>
      <c r="FW104" s="36"/>
      <c r="FX104" s="36"/>
      <c r="FY104" s="36"/>
      <c r="FZ104" s="36"/>
      <c r="GA104" s="36"/>
      <c r="GB104" s="36"/>
      <c r="GC104" s="36"/>
      <c r="GD104" s="36"/>
      <c r="GE104" s="36"/>
      <c r="GF104" s="36"/>
      <c r="GG104" s="36"/>
      <c r="GH104" s="36"/>
      <c r="GI104" s="36"/>
      <c r="GJ104" s="36"/>
      <c r="GK104" s="36"/>
      <c r="GL104" s="36"/>
      <c r="GM104" s="36"/>
      <c r="GN104" s="36"/>
      <c r="GO104" s="36"/>
      <c r="GP104" s="36"/>
      <c r="GQ104" s="36"/>
      <c r="GR104" s="36"/>
      <c r="GS104" s="36"/>
      <c r="GT104" s="36"/>
      <c r="GU104" s="36"/>
      <c r="GV104" s="36"/>
      <c r="GW104" s="36"/>
      <c r="GX104" s="36"/>
      <c r="GY104" s="36"/>
      <c r="GZ104" s="36"/>
      <c r="HA104" s="36"/>
      <c r="HB104" s="36"/>
      <c r="HC104" s="36"/>
      <c r="HD104" s="36"/>
      <c r="HE104" s="36"/>
      <c r="HF104" s="36"/>
      <c r="HG104" s="36"/>
      <c r="HH104" s="36"/>
      <c r="HI104" s="36"/>
      <c r="HJ104" s="36"/>
      <c r="HK104" s="36"/>
      <c r="HL104" s="36"/>
      <c r="HM104" s="36"/>
      <c r="HN104" s="36"/>
      <c r="HO104" s="36"/>
      <c r="HP104" s="36"/>
      <c r="HQ104" s="36"/>
      <c r="HR104" s="36"/>
      <c r="HS104" s="36"/>
      <c r="HT104" s="36"/>
      <c r="HU104" s="36"/>
      <c r="HV104" s="36"/>
      <c r="HW104" s="36"/>
      <c r="HX104" s="36"/>
      <c r="HY104" s="36"/>
      <c r="HZ104" s="36"/>
      <c r="IA104" s="36"/>
      <c r="IB104" s="36"/>
      <c r="IC104" s="36"/>
      <c r="ID104" s="36"/>
      <c r="IE104" s="36"/>
      <c r="IF104" s="36"/>
      <c r="IG104" s="36"/>
      <c r="IH104" s="36"/>
      <c r="II104" s="36"/>
      <c r="IJ104" s="36"/>
      <c r="IK104" s="36"/>
      <c r="IL104" s="36"/>
      <c r="IM104" s="36"/>
      <c r="IN104" s="36"/>
      <c r="IO104" s="36"/>
      <c r="IP104" s="36"/>
      <c r="IQ104" s="36"/>
      <c r="IR104" s="36"/>
      <c r="IS104" s="36"/>
      <c r="IT104" s="36"/>
      <c r="IU104" s="36"/>
      <c r="IV104" s="36"/>
    </row>
    <row r="105" spans="1:256" s="35" customFormat="1" ht="15.75">
      <c r="A105" s="36"/>
      <c r="B105" s="141"/>
      <c r="C105" s="142"/>
      <c r="D105" s="142"/>
      <c r="E105" s="142"/>
      <c r="F105" s="142"/>
      <c r="G105" s="142"/>
      <c r="H105" s="142"/>
      <c r="I105" s="142"/>
      <c r="J105" s="142"/>
      <c r="FW105" s="36"/>
      <c r="FX105" s="36"/>
      <c r="FY105" s="36"/>
      <c r="FZ105" s="36"/>
      <c r="GA105" s="36"/>
      <c r="GB105" s="36"/>
      <c r="GC105" s="36"/>
      <c r="GD105" s="36"/>
      <c r="GE105" s="36"/>
      <c r="GF105" s="36"/>
      <c r="GG105" s="36"/>
      <c r="GH105" s="36"/>
      <c r="GI105" s="36"/>
      <c r="GJ105" s="36"/>
      <c r="GK105" s="36"/>
      <c r="GL105" s="36"/>
      <c r="GM105" s="36"/>
      <c r="GN105" s="36"/>
      <c r="GO105" s="36"/>
      <c r="GP105" s="36"/>
      <c r="GQ105" s="36"/>
      <c r="GR105" s="36"/>
      <c r="GS105" s="36"/>
      <c r="GT105" s="36"/>
      <c r="GU105" s="36"/>
      <c r="GV105" s="36"/>
      <c r="GW105" s="36"/>
      <c r="GX105" s="36"/>
      <c r="GY105" s="36"/>
      <c r="GZ105" s="36"/>
      <c r="HA105" s="36"/>
      <c r="HB105" s="36"/>
      <c r="HC105" s="36"/>
      <c r="HD105" s="36"/>
      <c r="HE105" s="36"/>
      <c r="HF105" s="36"/>
      <c r="HG105" s="36"/>
      <c r="HH105" s="36"/>
      <c r="HI105" s="36"/>
      <c r="HJ105" s="36"/>
      <c r="HK105" s="36"/>
      <c r="HL105" s="36"/>
      <c r="HM105" s="36"/>
      <c r="HN105" s="36"/>
      <c r="HO105" s="36"/>
      <c r="HP105" s="36"/>
      <c r="HQ105" s="36"/>
      <c r="HR105" s="36"/>
      <c r="HS105" s="36"/>
      <c r="HT105" s="36"/>
      <c r="HU105" s="36"/>
      <c r="HV105" s="36"/>
      <c r="HW105" s="36"/>
      <c r="HX105" s="36"/>
      <c r="HY105" s="36"/>
      <c r="HZ105" s="36"/>
      <c r="IA105" s="36"/>
      <c r="IB105" s="36"/>
      <c r="IC105" s="36"/>
      <c r="ID105" s="36"/>
      <c r="IE105" s="36"/>
      <c r="IF105" s="36"/>
      <c r="IG105" s="36"/>
      <c r="IH105" s="36"/>
      <c r="II105" s="36"/>
      <c r="IJ105" s="36"/>
      <c r="IK105" s="36"/>
      <c r="IL105" s="36"/>
      <c r="IM105" s="36"/>
      <c r="IN105" s="36"/>
      <c r="IO105" s="36"/>
      <c r="IP105" s="36"/>
      <c r="IQ105" s="36"/>
      <c r="IR105" s="36"/>
      <c r="IS105" s="36"/>
      <c r="IT105" s="36"/>
      <c r="IU105" s="36"/>
      <c r="IV105" s="36"/>
    </row>
    <row r="106" spans="1:256" s="35" customFormat="1" ht="18.75" customHeight="1">
      <c r="A106" s="36"/>
      <c r="B106" s="141"/>
      <c r="C106" s="142"/>
      <c r="D106" s="142"/>
      <c r="E106" s="142"/>
      <c r="F106" s="142"/>
      <c r="G106" s="142"/>
      <c r="H106" s="142"/>
      <c r="I106" s="142"/>
      <c r="J106" s="142"/>
      <c r="FW106" s="36"/>
      <c r="FX106" s="36"/>
      <c r="FY106" s="36"/>
      <c r="FZ106" s="36"/>
      <c r="GA106" s="36"/>
      <c r="GB106" s="36"/>
      <c r="GC106" s="36"/>
      <c r="GD106" s="36"/>
      <c r="GE106" s="36"/>
      <c r="GF106" s="36"/>
      <c r="GG106" s="36"/>
      <c r="GH106" s="36"/>
      <c r="GI106" s="36"/>
      <c r="GJ106" s="36"/>
      <c r="GK106" s="36"/>
      <c r="GL106" s="36"/>
      <c r="GM106" s="36"/>
      <c r="GN106" s="36"/>
      <c r="GO106" s="36"/>
      <c r="GP106" s="36"/>
      <c r="GQ106" s="36"/>
      <c r="GR106" s="36"/>
      <c r="GS106" s="36"/>
      <c r="GT106" s="36"/>
      <c r="GU106" s="36"/>
      <c r="GV106" s="36"/>
      <c r="GW106" s="36"/>
      <c r="GX106" s="36"/>
      <c r="GY106" s="36"/>
      <c r="GZ106" s="36"/>
      <c r="HA106" s="36"/>
      <c r="HB106" s="36"/>
      <c r="HC106" s="36"/>
      <c r="HD106" s="36"/>
      <c r="HE106" s="36"/>
      <c r="HF106" s="36"/>
      <c r="HG106" s="36"/>
      <c r="HH106" s="36"/>
      <c r="HI106" s="36"/>
      <c r="HJ106" s="36"/>
      <c r="HK106" s="36"/>
      <c r="HL106" s="36"/>
      <c r="HM106" s="36"/>
      <c r="HN106" s="36"/>
      <c r="HO106" s="36"/>
      <c r="HP106" s="36"/>
      <c r="HQ106" s="36"/>
      <c r="HR106" s="36"/>
      <c r="HS106" s="36"/>
      <c r="HT106" s="36"/>
      <c r="HU106" s="36"/>
      <c r="HV106" s="36"/>
      <c r="HW106" s="36"/>
      <c r="HX106" s="36"/>
      <c r="HY106" s="36"/>
      <c r="HZ106" s="36"/>
      <c r="IA106" s="36"/>
      <c r="IB106" s="36"/>
      <c r="IC106" s="36"/>
      <c r="ID106" s="36"/>
      <c r="IE106" s="36"/>
      <c r="IF106" s="36"/>
      <c r="IG106" s="36"/>
      <c r="IH106" s="36"/>
      <c r="II106" s="36"/>
      <c r="IJ106" s="36"/>
      <c r="IK106" s="36"/>
      <c r="IL106" s="36"/>
      <c r="IM106" s="36"/>
      <c r="IN106" s="36"/>
      <c r="IO106" s="36"/>
      <c r="IP106" s="36"/>
      <c r="IQ106" s="36"/>
      <c r="IR106" s="36"/>
      <c r="IS106" s="36"/>
      <c r="IT106" s="36"/>
      <c r="IU106" s="36"/>
      <c r="IV106" s="36"/>
    </row>
    <row r="107" spans="1:256" s="21" customFormat="1" ht="15.75">
      <c r="A107" s="22"/>
      <c r="B107" s="144"/>
      <c r="C107" s="142"/>
      <c r="D107" s="142"/>
      <c r="E107" s="142"/>
      <c r="F107" s="142"/>
      <c r="G107" s="142"/>
      <c r="H107" s="142"/>
      <c r="I107" s="142"/>
      <c r="J107" s="142"/>
      <c r="FW107" s="22"/>
      <c r="FX107" s="22"/>
      <c r="FY107" s="22"/>
      <c r="FZ107" s="22"/>
      <c r="GA107" s="22"/>
      <c r="GB107" s="22"/>
      <c r="GC107" s="22"/>
      <c r="GD107" s="22"/>
      <c r="GE107" s="22"/>
      <c r="GF107" s="22"/>
      <c r="GG107" s="22"/>
      <c r="GH107" s="22"/>
      <c r="GI107" s="22"/>
      <c r="GJ107" s="22"/>
      <c r="GK107" s="22"/>
      <c r="GL107" s="22"/>
      <c r="GM107" s="22"/>
      <c r="GN107" s="22"/>
      <c r="GO107" s="22"/>
      <c r="GP107" s="22"/>
      <c r="GQ107" s="22"/>
      <c r="GR107" s="22"/>
      <c r="GS107" s="22"/>
      <c r="GT107" s="22"/>
      <c r="GU107" s="22"/>
      <c r="GV107" s="22"/>
      <c r="GW107" s="22"/>
      <c r="GX107" s="22"/>
      <c r="GY107" s="22"/>
      <c r="GZ107" s="22"/>
      <c r="HA107" s="22"/>
      <c r="HB107" s="22"/>
      <c r="HC107" s="22"/>
      <c r="HD107" s="22"/>
      <c r="HE107" s="22"/>
      <c r="HF107" s="22"/>
      <c r="HG107" s="22"/>
      <c r="HH107" s="22"/>
      <c r="HI107" s="22"/>
      <c r="HJ107" s="22"/>
      <c r="HK107" s="22"/>
      <c r="HL107" s="22"/>
      <c r="HM107" s="22"/>
      <c r="HN107" s="22"/>
      <c r="HO107" s="22"/>
      <c r="HP107" s="22"/>
      <c r="HQ107" s="22"/>
      <c r="HR107" s="22"/>
      <c r="HS107" s="22"/>
      <c r="HT107" s="22"/>
      <c r="HU107" s="22"/>
      <c r="HV107" s="22"/>
      <c r="HW107" s="22"/>
      <c r="HX107" s="22"/>
      <c r="HY107" s="22"/>
      <c r="HZ107" s="22"/>
      <c r="IA107" s="22"/>
      <c r="IB107" s="22"/>
      <c r="IC107" s="22"/>
      <c r="ID107" s="22"/>
      <c r="IE107" s="22"/>
      <c r="IF107" s="22"/>
      <c r="IG107" s="22"/>
      <c r="IH107" s="22"/>
      <c r="II107" s="22"/>
      <c r="IJ107" s="22"/>
      <c r="IK107" s="22"/>
      <c r="IL107" s="22"/>
      <c r="IM107" s="22"/>
      <c r="IN107" s="22"/>
      <c r="IO107" s="22"/>
      <c r="IP107" s="22"/>
      <c r="IQ107" s="22"/>
      <c r="IR107" s="22"/>
      <c r="IS107" s="22"/>
      <c r="IT107" s="22"/>
      <c r="IU107" s="22"/>
      <c r="IV107" s="22"/>
    </row>
    <row r="108" spans="1:256" s="35" customFormat="1" ht="15.75">
      <c r="A108" s="36"/>
      <c r="B108" s="141"/>
      <c r="C108" s="142"/>
      <c r="D108" s="142"/>
      <c r="E108" s="142"/>
      <c r="F108" s="142"/>
      <c r="G108" s="142"/>
      <c r="H108" s="142"/>
      <c r="I108" s="142"/>
      <c r="J108" s="142"/>
      <c r="FW108" s="36"/>
      <c r="FX108" s="36"/>
      <c r="FY108" s="36"/>
      <c r="FZ108" s="36"/>
      <c r="GA108" s="36"/>
      <c r="GB108" s="36"/>
      <c r="GC108" s="36"/>
      <c r="GD108" s="36"/>
      <c r="GE108" s="36"/>
      <c r="GF108" s="36"/>
      <c r="GG108" s="36"/>
      <c r="GH108" s="36"/>
      <c r="GI108" s="36"/>
      <c r="GJ108" s="36"/>
      <c r="GK108" s="36"/>
      <c r="GL108" s="36"/>
      <c r="GM108" s="36"/>
      <c r="GN108" s="36"/>
      <c r="GO108" s="36"/>
      <c r="GP108" s="36"/>
      <c r="GQ108" s="36"/>
      <c r="GR108" s="36"/>
      <c r="GS108" s="36"/>
      <c r="GT108" s="36"/>
      <c r="GU108" s="36"/>
      <c r="GV108" s="36"/>
      <c r="GW108" s="36"/>
      <c r="GX108" s="36"/>
      <c r="GY108" s="36"/>
      <c r="GZ108" s="36"/>
      <c r="HA108" s="36"/>
      <c r="HB108" s="36"/>
      <c r="HC108" s="36"/>
      <c r="HD108" s="36"/>
      <c r="HE108" s="36"/>
      <c r="HF108" s="36"/>
      <c r="HG108" s="36"/>
      <c r="HH108" s="36"/>
      <c r="HI108" s="36"/>
      <c r="HJ108" s="36"/>
      <c r="HK108" s="36"/>
      <c r="HL108" s="36"/>
      <c r="HM108" s="36"/>
      <c r="HN108" s="36"/>
      <c r="HO108" s="36"/>
      <c r="HP108" s="36"/>
      <c r="HQ108" s="36"/>
      <c r="HR108" s="36"/>
      <c r="HS108" s="36"/>
      <c r="HT108" s="36"/>
      <c r="HU108" s="36"/>
      <c r="HV108" s="36"/>
      <c r="HW108" s="36"/>
      <c r="HX108" s="36"/>
      <c r="HY108" s="36"/>
      <c r="HZ108" s="36"/>
      <c r="IA108" s="36"/>
      <c r="IB108" s="36"/>
      <c r="IC108" s="36"/>
      <c r="ID108" s="36"/>
      <c r="IE108" s="36"/>
      <c r="IF108" s="36"/>
      <c r="IG108" s="36"/>
      <c r="IH108" s="36"/>
      <c r="II108" s="36"/>
      <c r="IJ108" s="36"/>
      <c r="IK108" s="36"/>
      <c r="IL108" s="36"/>
      <c r="IM108" s="36"/>
      <c r="IN108" s="36"/>
      <c r="IO108" s="36"/>
      <c r="IP108" s="36"/>
      <c r="IQ108" s="36"/>
      <c r="IR108" s="36"/>
      <c r="IS108" s="36"/>
      <c r="IT108" s="36"/>
      <c r="IU108" s="36"/>
      <c r="IV108" s="36"/>
    </row>
    <row r="109" spans="1:256" s="35" customFormat="1" ht="15.75">
      <c r="A109" s="36"/>
      <c r="B109" s="141"/>
      <c r="C109" s="142"/>
      <c r="D109" s="142"/>
      <c r="E109" s="142"/>
      <c r="F109" s="142"/>
      <c r="G109" s="142"/>
      <c r="H109" s="142"/>
      <c r="I109" s="142"/>
      <c r="J109" s="142"/>
      <c r="FW109" s="36"/>
      <c r="FX109" s="36"/>
      <c r="FY109" s="36"/>
      <c r="FZ109" s="36"/>
      <c r="GA109" s="36"/>
      <c r="GB109" s="36"/>
      <c r="GC109" s="36"/>
      <c r="GD109" s="36"/>
      <c r="GE109" s="36"/>
      <c r="GF109" s="36"/>
      <c r="GG109" s="36"/>
      <c r="GH109" s="36"/>
      <c r="GI109" s="36"/>
      <c r="GJ109" s="36"/>
      <c r="GK109" s="36"/>
      <c r="GL109" s="36"/>
      <c r="GM109" s="36"/>
      <c r="GN109" s="36"/>
      <c r="GO109" s="36"/>
      <c r="GP109" s="36"/>
      <c r="GQ109" s="36"/>
      <c r="GR109" s="36"/>
      <c r="GS109" s="36"/>
      <c r="GT109" s="36"/>
      <c r="GU109" s="36"/>
      <c r="GV109" s="36"/>
      <c r="GW109" s="36"/>
      <c r="GX109" s="36"/>
      <c r="GY109" s="36"/>
      <c r="GZ109" s="36"/>
      <c r="HA109" s="36"/>
      <c r="HB109" s="36"/>
      <c r="HC109" s="36"/>
      <c r="HD109" s="36"/>
      <c r="HE109" s="36"/>
      <c r="HF109" s="36"/>
      <c r="HG109" s="36"/>
      <c r="HH109" s="36"/>
      <c r="HI109" s="36"/>
      <c r="HJ109" s="36"/>
      <c r="HK109" s="36"/>
      <c r="HL109" s="36"/>
      <c r="HM109" s="36"/>
      <c r="HN109" s="36"/>
      <c r="HO109" s="36"/>
      <c r="HP109" s="36"/>
      <c r="HQ109" s="36"/>
      <c r="HR109" s="36"/>
      <c r="HS109" s="36"/>
      <c r="HT109" s="36"/>
      <c r="HU109" s="36"/>
      <c r="HV109" s="36"/>
      <c r="HW109" s="36"/>
      <c r="HX109" s="36"/>
      <c r="HY109" s="36"/>
      <c r="HZ109" s="36"/>
      <c r="IA109" s="36"/>
      <c r="IB109" s="36"/>
      <c r="IC109" s="36"/>
      <c r="ID109" s="36"/>
      <c r="IE109" s="36"/>
      <c r="IF109" s="36"/>
      <c r="IG109" s="36"/>
      <c r="IH109" s="36"/>
      <c r="II109" s="36"/>
      <c r="IJ109" s="36"/>
      <c r="IK109" s="36"/>
      <c r="IL109" s="36"/>
      <c r="IM109" s="36"/>
      <c r="IN109" s="36"/>
      <c r="IO109" s="36"/>
      <c r="IP109" s="36"/>
      <c r="IQ109" s="36"/>
      <c r="IR109" s="36"/>
      <c r="IS109" s="36"/>
      <c r="IT109" s="36"/>
      <c r="IU109" s="36"/>
      <c r="IV109" s="36"/>
    </row>
    <row r="110" spans="1:256" s="35" customFormat="1" ht="15.75">
      <c r="A110" s="36"/>
      <c r="B110" s="141"/>
      <c r="C110" s="142"/>
      <c r="D110" s="142"/>
      <c r="E110" s="142"/>
      <c r="F110" s="142"/>
      <c r="G110" s="142"/>
      <c r="H110" s="142"/>
      <c r="I110" s="142"/>
      <c r="J110" s="142"/>
      <c r="FW110" s="36"/>
      <c r="FX110" s="36"/>
      <c r="FY110" s="36"/>
      <c r="FZ110" s="36"/>
      <c r="GA110" s="36"/>
      <c r="GB110" s="36"/>
      <c r="GC110" s="36"/>
      <c r="GD110" s="36"/>
      <c r="GE110" s="36"/>
      <c r="GF110" s="36"/>
      <c r="GG110" s="36"/>
      <c r="GH110" s="36"/>
      <c r="GI110" s="36"/>
      <c r="GJ110" s="36"/>
      <c r="GK110" s="36"/>
      <c r="GL110" s="36"/>
      <c r="GM110" s="36"/>
      <c r="GN110" s="36"/>
      <c r="GO110" s="36"/>
      <c r="GP110" s="36"/>
      <c r="GQ110" s="36"/>
      <c r="GR110" s="36"/>
      <c r="GS110" s="36"/>
      <c r="GT110" s="36"/>
      <c r="GU110" s="36"/>
      <c r="GV110" s="36"/>
      <c r="GW110" s="36"/>
      <c r="GX110" s="36"/>
      <c r="GY110" s="36"/>
      <c r="GZ110" s="36"/>
      <c r="HA110" s="36"/>
      <c r="HB110" s="36"/>
      <c r="HC110" s="36"/>
      <c r="HD110" s="36"/>
      <c r="HE110" s="36"/>
      <c r="HF110" s="36"/>
      <c r="HG110" s="36"/>
      <c r="HH110" s="36"/>
      <c r="HI110" s="36"/>
      <c r="HJ110" s="36"/>
      <c r="HK110" s="36"/>
      <c r="HL110" s="36"/>
      <c r="HM110" s="36"/>
      <c r="HN110" s="36"/>
      <c r="HO110" s="36"/>
      <c r="HP110" s="36"/>
      <c r="HQ110" s="36"/>
      <c r="HR110" s="36"/>
      <c r="HS110" s="36"/>
      <c r="HT110" s="36"/>
      <c r="HU110" s="36"/>
      <c r="HV110" s="36"/>
      <c r="HW110" s="36"/>
      <c r="HX110" s="36"/>
      <c r="HY110" s="36"/>
      <c r="HZ110" s="36"/>
      <c r="IA110" s="36"/>
      <c r="IB110" s="36"/>
      <c r="IC110" s="36"/>
      <c r="ID110" s="36"/>
      <c r="IE110" s="36"/>
      <c r="IF110" s="36"/>
      <c r="IG110" s="36"/>
      <c r="IH110" s="36"/>
      <c r="II110" s="36"/>
      <c r="IJ110" s="36"/>
      <c r="IK110" s="36"/>
      <c r="IL110" s="36"/>
      <c r="IM110" s="36"/>
      <c r="IN110" s="36"/>
      <c r="IO110" s="36"/>
      <c r="IP110" s="36"/>
      <c r="IQ110" s="36"/>
      <c r="IR110" s="36"/>
      <c r="IS110" s="36"/>
      <c r="IT110" s="36"/>
      <c r="IU110" s="36"/>
      <c r="IV110" s="36"/>
    </row>
    <row r="111" spans="1:256" s="35" customFormat="1" ht="15.75">
      <c r="A111" s="36"/>
      <c r="B111" s="141"/>
      <c r="C111" s="142"/>
      <c r="D111" s="142"/>
      <c r="E111" s="142"/>
      <c r="F111" s="142"/>
      <c r="G111" s="142"/>
      <c r="H111" s="142"/>
      <c r="I111" s="142"/>
      <c r="J111" s="142"/>
      <c r="FW111" s="36"/>
      <c r="FX111" s="36"/>
      <c r="FY111" s="36"/>
      <c r="FZ111" s="36"/>
      <c r="GA111" s="36"/>
      <c r="GB111" s="36"/>
      <c r="GC111" s="36"/>
      <c r="GD111" s="36"/>
      <c r="GE111" s="36"/>
      <c r="GF111" s="36"/>
      <c r="GG111" s="36"/>
      <c r="GH111" s="36"/>
      <c r="GI111" s="36"/>
      <c r="GJ111" s="36"/>
      <c r="GK111" s="36"/>
      <c r="GL111" s="36"/>
      <c r="GM111" s="36"/>
      <c r="GN111" s="36"/>
      <c r="GO111" s="36"/>
      <c r="GP111" s="36"/>
      <c r="GQ111" s="36"/>
      <c r="GR111" s="36"/>
      <c r="GS111" s="36"/>
      <c r="GT111" s="36"/>
      <c r="GU111" s="36"/>
      <c r="GV111" s="36"/>
      <c r="GW111" s="36"/>
      <c r="GX111" s="36"/>
      <c r="GY111" s="36"/>
      <c r="GZ111" s="36"/>
      <c r="HA111" s="36"/>
      <c r="HB111" s="36"/>
      <c r="HC111" s="36"/>
      <c r="HD111" s="36"/>
      <c r="HE111" s="36"/>
      <c r="HF111" s="36"/>
      <c r="HG111" s="36"/>
      <c r="HH111" s="36"/>
      <c r="HI111" s="36"/>
      <c r="HJ111" s="36"/>
      <c r="HK111" s="36"/>
      <c r="HL111" s="36"/>
      <c r="HM111" s="36"/>
      <c r="HN111" s="36"/>
      <c r="HO111" s="36"/>
      <c r="HP111" s="36"/>
      <c r="HQ111" s="36"/>
      <c r="HR111" s="36"/>
      <c r="HS111" s="36"/>
      <c r="HT111" s="36"/>
      <c r="HU111" s="36"/>
      <c r="HV111" s="36"/>
      <c r="HW111" s="36"/>
      <c r="HX111" s="36"/>
      <c r="HY111" s="36"/>
      <c r="HZ111" s="36"/>
      <c r="IA111" s="36"/>
      <c r="IB111" s="36"/>
      <c r="IC111" s="36"/>
      <c r="ID111" s="36"/>
      <c r="IE111" s="36"/>
      <c r="IF111" s="36"/>
      <c r="IG111" s="36"/>
      <c r="IH111" s="36"/>
      <c r="II111" s="36"/>
      <c r="IJ111" s="36"/>
      <c r="IK111" s="36"/>
      <c r="IL111" s="36"/>
      <c r="IM111" s="36"/>
      <c r="IN111" s="36"/>
      <c r="IO111" s="36"/>
      <c r="IP111" s="36"/>
      <c r="IQ111" s="36"/>
      <c r="IR111" s="36"/>
      <c r="IS111" s="36"/>
      <c r="IT111" s="36"/>
      <c r="IU111" s="36"/>
      <c r="IV111" s="36"/>
    </row>
    <row r="112" spans="1:256" s="35" customFormat="1" ht="15.75">
      <c r="A112" s="36"/>
      <c r="B112" s="141"/>
      <c r="C112" s="142"/>
      <c r="D112" s="142"/>
      <c r="E112" s="142"/>
      <c r="F112" s="142"/>
      <c r="G112" s="142"/>
      <c r="H112" s="142"/>
      <c r="I112" s="142"/>
      <c r="J112" s="142"/>
      <c r="FW112" s="36"/>
      <c r="FX112" s="36"/>
      <c r="FY112" s="36"/>
      <c r="FZ112" s="36"/>
      <c r="GA112" s="36"/>
      <c r="GB112" s="36"/>
      <c r="GC112" s="36"/>
      <c r="GD112" s="36"/>
      <c r="GE112" s="36"/>
      <c r="GF112" s="36"/>
      <c r="GG112" s="36"/>
      <c r="GH112" s="36"/>
      <c r="GI112" s="36"/>
      <c r="GJ112" s="36"/>
      <c r="GK112" s="36"/>
      <c r="GL112" s="36"/>
      <c r="GM112" s="36"/>
      <c r="GN112" s="36"/>
      <c r="GO112" s="36"/>
      <c r="GP112" s="36"/>
      <c r="GQ112" s="36"/>
      <c r="GR112" s="36"/>
      <c r="GS112" s="36"/>
      <c r="GT112" s="36"/>
      <c r="GU112" s="36"/>
      <c r="GV112" s="36"/>
      <c r="GW112" s="36"/>
      <c r="GX112" s="36"/>
      <c r="GY112" s="36"/>
      <c r="GZ112" s="36"/>
      <c r="HA112" s="36"/>
      <c r="HB112" s="36"/>
      <c r="HC112" s="36"/>
      <c r="HD112" s="36"/>
      <c r="HE112" s="36"/>
      <c r="HF112" s="36"/>
      <c r="HG112" s="36"/>
      <c r="HH112" s="36"/>
      <c r="HI112" s="36"/>
      <c r="HJ112" s="36"/>
      <c r="HK112" s="36"/>
      <c r="HL112" s="36"/>
      <c r="HM112" s="36"/>
      <c r="HN112" s="36"/>
      <c r="HO112" s="36"/>
      <c r="HP112" s="36"/>
      <c r="HQ112" s="36"/>
      <c r="HR112" s="36"/>
      <c r="HS112" s="36"/>
      <c r="HT112" s="36"/>
      <c r="HU112" s="36"/>
      <c r="HV112" s="36"/>
      <c r="HW112" s="36"/>
      <c r="HX112" s="36"/>
      <c r="HY112" s="36"/>
      <c r="HZ112" s="36"/>
      <c r="IA112" s="36"/>
      <c r="IB112" s="36"/>
      <c r="IC112" s="36"/>
      <c r="ID112" s="36"/>
      <c r="IE112" s="36"/>
      <c r="IF112" s="36"/>
      <c r="IG112" s="36"/>
      <c r="IH112" s="36"/>
      <c r="II112" s="36"/>
      <c r="IJ112" s="36"/>
      <c r="IK112" s="36"/>
      <c r="IL112" s="36"/>
      <c r="IM112" s="36"/>
      <c r="IN112" s="36"/>
      <c r="IO112" s="36"/>
      <c r="IP112" s="36"/>
      <c r="IQ112" s="36"/>
      <c r="IR112" s="36"/>
      <c r="IS112" s="36"/>
      <c r="IT112" s="36"/>
      <c r="IU112" s="36"/>
      <c r="IV112" s="36"/>
    </row>
    <row r="113" spans="1:256" s="147" customFormat="1" ht="15.75">
      <c r="A113" s="145"/>
      <c r="B113" s="141"/>
      <c r="C113" s="142"/>
      <c r="D113" s="146"/>
      <c r="E113" s="146"/>
      <c r="F113" s="146"/>
      <c r="G113" s="146"/>
      <c r="H113" s="146"/>
      <c r="I113" s="146"/>
      <c r="J113" s="146"/>
      <c r="FW113" s="145"/>
      <c r="FX113" s="145"/>
      <c r="FY113" s="145"/>
      <c r="FZ113" s="145"/>
      <c r="GA113" s="145"/>
      <c r="GB113" s="145"/>
      <c r="GC113" s="145"/>
      <c r="GD113" s="145"/>
      <c r="GE113" s="145"/>
      <c r="GF113" s="145"/>
      <c r="GG113" s="145"/>
      <c r="GH113" s="145"/>
      <c r="GI113" s="145"/>
      <c r="GJ113" s="145"/>
      <c r="GK113" s="145"/>
      <c r="GL113" s="145"/>
      <c r="GM113" s="145"/>
      <c r="GN113" s="145"/>
      <c r="GO113" s="145"/>
      <c r="GP113" s="145"/>
      <c r="GQ113" s="145"/>
      <c r="GR113" s="145"/>
      <c r="GS113" s="145"/>
      <c r="GT113" s="145"/>
      <c r="GU113" s="145"/>
      <c r="GV113" s="145"/>
      <c r="GW113" s="145"/>
      <c r="GX113" s="145"/>
      <c r="GY113" s="145"/>
      <c r="GZ113" s="145"/>
      <c r="HA113" s="145"/>
      <c r="HB113" s="145"/>
      <c r="HC113" s="145"/>
      <c r="HD113" s="145"/>
      <c r="HE113" s="145"/>
      <c r="HF113" s="145"/>
      <c r="HG113" s="145"/>
      <c r="HH113" s="145"/>
      <c r="HI113" s="145"/>
      <c r="HJ113" s="145"/>
      <c r="HK113" s="145"/>
      <c r="HL113" s="145"/>
      <c r="HM113" s="145"/>
      <c r="HN113" s="145"/>
      <c r="HO113" s="145"/>
      <c r="HP113" s="145"/>
      <c r="HQ113" s="145"/>
      <c r="HR113" s="145"/>
      <c r="HS113" s="145"/>
      <c r="HT113" s="145"/>
      <c r="HU113" s="145"/>
      <c r="HV113" s="145"/>
      <c r="HW113" s="145"/>
      <c r="HX113" s="145"/>
      <c r="HY113" s="145"/>
      <c r="HZ113" s="145"/>
      <c r="IA113" s="145"/>
      <c r="IB113" s="145"/>
      <c r="IC113" s="145"/>
      <c r="ID113" s="145"/>
      <c r="IE113" s="145"/>
      <c r="IF113" s="145"/>
      <c r="IG113" s="145"/>
      <c r="IH113" s="145"/>
      <c r="II113" s="145"/>
      <c r="IJ113" s="145"/>
      <c r="IK113" s="145"/>
      <c r="IL113" s="145"/>
      <c r="IM113" s="145"/>
      <c r="IN113" s="145"/>
      <c r="IO113" s="145"/>
      <c r="IP113" s="145"/>
      <c r="IQ113" s="145"/>
      <c r="IR113" s="145"/>
      <c r="IS113" s="145"/>
      <c r="IT113" s="145"/>
      <c r="IU113" s="145"/>
      <c r="IV113" s="145"/>
    </row>
    <row r="114" spans="1:256" s="35" customFormat="1" ht="15">
      <c r="A114" s="36"/>
      <c r="B114" s="141"/>
      <c r="C114" s="22"/>
      <c r="D114" s="22"/>
      <c r="E114" s="22"/>
      <c r="F114" s="22"/>
      <c r="G114" s="22"/>
      <c r="H114" s="22"/>
      <c r="I114" s="22"/>
      <c r="J114" s="22"/>
      <c r="FW114" s="36"/>
      <c r="FX114" s="36"/>
      <c r="FY114" s="36"/>
      <c r="FZ114" s="36"/>
      <c r="GA114" s="36"/>
      <c r="GB114" s="36"/>
      <c r="GC114" s="36"/>
      <c r="GD114" s="36"/>
      <c r="GE114" s="36"/>
      <c r="GF114" s="36"/>
      <c r="GG114" s="36"/>
      <c r="GH114" s="36"/>
      <c r="GI114" s="36"/>
      <c r="GJ114" s="36"/>
      <c r="GK114" s="36"/>
      <c r="GL114" s="36"/>
      <c r="GM114" s="36"/>
      <c r="GN114" s="36"/>
      <c r="GO114" s="36"/>
      <c r="GP114" s="36"/>
      <c r="GQ114" s="36"/>
      <c r="GR114" s="36"/>
      <c r="GS114" s="36"/>
      <c r="GT114" s="36"/>
      <c r="GU114" s="36"/>
      <c r="GV114" s="36"/>
      <c r="GW114" s="36"/>
      <c r="GX114" s="36"/>
      <c r="GY114" s="36"/>
      <c r="GZ114" s="36"/>
      <c r="HA114" s="36"/>
      <c r="HB114" s="36"/>
      <c r="HC114" s="36"/>
      <c r="HD114" s="36"/>
      <c r="HE114" s="36"/>
      <c r="HF114" s="36"/>
      <c r="HG114" s="36"/>
      <c r="HH114" s="36"/>
      <c r="HI114" s="36"/>
      <c r="HJ114" s="36"/>
      <c r="HK114" s="36"/>
      <c r="HL114" s="36"/>
      <c r="HM114" s="36"/>
      <c r="HN114" s="36"/>
      <c r="HO114" s="36"/>
      <c r="HP114" s="36"/>
      <c r="HQ114" s="36"/>
      <c r="HR114" s="36"/>
      <c r="HS114" s="36"/>
      <c r="HT114" s="36"/>
      <c r="HU114" s="36"/>
      <c r="HV114" s="36"/>
      <c r="HW114" s="36"/>
      <c r="HX114" s="36"/>
      <c r="HY114" s="36"/>
      <c r="HZ114" s="36"/>
      <c r="IA114" s="36"/>
      <c r="IB114" s="36"/>
      <c r="IC114" s="36"/>
      <c r="ID114" s="36"/>
      <c r="IE114" s="36"/>
      <c r="IF114" s="36"/>
      <c r="IG114" s="36"/>
      <c r="IH114" s="36"/>
      <c r="II114" s="36"/>
      <c r="IJ114" s="36"/>
      <c r="IK114" s="36"/>
      <c r="IL114" s="36"/>
      <c r="IM114" s="36"/>
      <c r="IN114" s="36"/>
      <c r="IO114" s="36"/>
      <c r="IP114" s="36"/>
      <c r="IQ114" s="36"/>
      <c r="IR114" s="36"/>
      <c r="IS114" s="36"/>
      <c r="IT114" s="36"/>
      <c r="IU114" s="36"/>
      <c r="IV114" s="36"/>
    </row>
    <row r="115" spans="1:256" s="35" customFormat="1" ht="15">
      <c r="A115" s="36"/>
      <c r="B115" s="141"/>
      <c r="C115" s="22"/>
      <c r="D115" s="22"/>
      <c r="E115" s="22"/>
      <c r="F115" s="22"/>
      <c r="G115" s="22"/>
      <c r="H115" s="22"/>
      <c r="I115" s="22"/>
      <c r="J115" s="22"/>
      <c r="FW115" s="36"/>
      <c r="FX115" s="36"/>
      <c r="FY115" s="36"/>
      <c r="FZ115" s="36"/>
      <c r="GA115" s="36"/>
      <c r="GB115" s="36"/>
      <c r="GC115" s="36"/>
      <c r="GD115" s="36"/>
      <c r="GE115" s="36"/>
      <c r="GF115" s="36"/>
      <c r="GG115" s="36"/>
      <c r="GH115" s="36"/>
      <c r="GI115" s="36"/>
      <c r="GJ115" s="36"/>
      <c r="GK115" s="36"/>
      <c r="GL115" s="36"/>
      <c r="GM115" s="36"/>
      <c r="GN115" s="36"/>
      <c r="GO115" s="36"/>
      <c r="GP115" s="36"/>
      <c r="GQ115" s="36"/>
      <c r="GR115" s="36"/>
      <c r="GS115" s="36"/>
      <c r="GT115" s="36"/>
      <c r="GU115" s="36"/>
      <c r="GV115" s="36"/>
      <c r="GW115" s="36"/>
      <c r="GX115" s="36"/>
      <c r="GY115" s="36"/>
      <c r="GZ115" s="36"/>
      <c r="HA115" s="36"/>
      <c r="HB115" s="36"/>
      <c r="HC115" s="36"/>
      <c r="HD115" s="36"/>
      <c r="HE115" s="36"/>
      <c r="HF115" s="36"/>
      <c r="HG115" s="36"/>
      <c r="HH115" s="36"/>
      <c r="HI115" s="36"/>
      <c r="HJ115" s="36"/>
      <c r="HK115" s="36"/>
      <c r="HL115" s="36"/>
      <c r="HM115" s="36"/>
      <c r="HN115" s="36"/>
      <c r="HO115" s="36"/>
      <c r="HP115" s="36"/>
      <c r="HQ115" s="36"/>
      <c r="HR115" s="36"/>
      <c r="HS115" s="36"/>
      <c r="HT115" s="36"/>
      <c r="HU115" s="36"/>
      <c r="HV115" s="36"/>
      <c r="HW115" s="36"/>
      <c r="HX115" s="36"/>
      <c r="HY115" s="36"/>
      <c r="HZ115" s="36"/>
      <c r="IA115" s="36"/>
      <c r="IB115" s="36"/>
      <c r="IC115" s="36"/>
      <c r="ID115" s="36"/>
      <c r="IE115" s="36"/>
      <c r="IF115" s="36"/>
      <c r="IG115" s="36"/>
      <c r="IH115" s="36"/>
      <c r="II115" s="36"/>
      <c r="IJ115" s="36"/>
      <c r="IK115" s="36"/>
      <c r="IL115" s="36"/>
      <c r="IM115" s="36"/>
      <c r="IN115" s="36"/>
      <c r="IO115" s="36"/>
      <c r="IP115" s="36"/>
      <c r="IQ115" s="36"/>
      <c r="IR115" s="36"/>
      <c r="IS115" s="36"/>
      <c r="IT115" s="36"/>
      <c r="IU115" s="36"/>
      <c r="IV115" s="36"/>
    </row>
    <row r="116" spans="1:256" s="35" customFormat="1" ht="15">
      <c r="A116" s="36"/>
      <c r="B116" s="141"/>
      <c r="C116" s="22"/>
      <c r="D116" s="22"/>
      <c r="E116" s="22"/>
      <c r="F116" s="22"/>
      <c r="G116" s="22"/>
      <c r="H116" s="22"/>
      <c r="I116" s="22"/>
      <c r="J116" s="22"/>
      <c r="FW116" s="36"/>
      <c r="FX116" s="36"/>
      <c r="FY116" s="36"/>
      <c r="FZ116" s="36"/>
      <c r="GA116" s="36"/>
      <c r="GB116" s="36"/>
      <c r="GC116" s="36"/>
      <c r="GD116" s="36"/>
      <c r="GE116" s="36"/>
      <c r="GF116" s="36"/>
      <c r="GG116" s="36"/>
      <c r="GH116" s="36"/>
      <c r="GI116" s="36"/>
      <c r="GJ116" s="36"/>
      <c r="GK116" s="36"/>
      <c r="GL116" s="36"/>
      <c r="GM116" s="36"/>
      <c r="GN116" s="36"/>
      <c r="GO116" s="36"/>
      <c r="GP116" s="36"/>
      <c r="GQ116" s="36"/>
      <c r="GR116" s="36"/>
      <c r="GS116" s="36"/>
      <c r="GT116" s="36"/>
      <c r="GU116" s="36"/>
      <c r="GV116" s="36"/>
      <c r="GW116" s="36"/>
      <c r="GX116" s="36"/>
      <c r="GY116" s="36"/>
      <c r="GZ116" s="36"/>
      <c r="HA116" s="36"/>
      <c r="HB116" s="36"/>
      <c r="HC116" s="36"/>
      <c r="HD116" s="36"/>
      <c r="HE116" s="36"/>
      <c r="HF116" s="36"/>
      <c r="HG116" s="36"/>
      <c r="HH116" s="36"/>
      <c r="HI116" s="36"/>
      <c r="HJ116" s="36"/>
      <c r="HK116" s="36"/>
      <c r="HL116" s="36"/>
      <c r="HM116" s="36"/>
      <c r="HN116" s="36"/>
      <c r="HO116" s="36"/>
      <c r="HP116" s="36"/>
      <c r="HQ116" s="36"/>
      <c r="HR116" s="36"/>
      <c r="HS116" s="36"/>
      <c r="HT116" s="36"/>
      <c r="HU116" s="36"/>
      <c r="HV116" s="36"/>
      <c r="HW116" s="36"/>
      <c r="HX116" s="36"/>
      <c r="HY116" s="36"/>
      <c r="HZ116" s="36"/>
      <c r="IA116" s="36"/>
      <c r="IB116" s="36"/>
      <c r="IC116" s="36"/>
      <c r="ID116" s="36"/>
      <c r="IE116" s="36"/>
      <c r="IF116" s="36"/>
      <c r="IG116" s="36"/>
      <c r="IH116" s="36"/>
      <c r="II116" s="36"/>
      <c r="IJ116" s="36"/>
      <c r="IK116" s="36"/>
      <c r="IL116" s="36"/>
      <c r="IM116" s="36"/>
      <c r="IN116" s="36"/>
      <c r="IO116" s="36"/>
      <c r="IP116" s="36"/>
      <c r="IQ116" s="36"/>
      <c r="IR116" s="36"/>
      <c r="IS116" s="36"/>
      <c r="IT116" s="36"/>
      <c r="IU116" s="36"/>
      <c r="IV116" s="36"/>
    </row>
    <row r="117" spans="1:256" s="35" customFormat="1" ht="15">
      <c r="A117" s="36"/>
      <c r="B117" s="141"/>
      <c r="C117" s="22"/>
      <c r="D117" s="22"/>
      <c r="E117" s="22"/>
      <c r="F117" s="22"/>
      <c r="G117" s="22"/>
      <c r="H117" s="22"/>
      <c r="I117" s="22"/>
      <c r="J117" s="22"/>
      <c r="FW117" s="36"/>
      <c r="FX117" s="36"/>
      <c r="FY117" s="36"/>
      <c r="FZ117" s="36"/>
      <c r="GA117" s="36"/>
      <c r="GB117" s="36"/>
      <c r="GC117" s="36"/>
      <c r="GD117" s="36"/>
      <c r="GE117" s="36"/>
      <c r="GF117" s="36"/>
      <c r="GG117" s="36"/>
      <c r="GH117" s="36"/>
      <c r="GI117" s="36"/>
      <c r="GJ117" s="36"/>
      <c r="GK117" s="36"/>
      <c r="GL117" s="36"/>
      <c r="GM117" s="36"/>
      <c r="GN117" s="36"/>
      <c r="GO117" s="36"/>
      <c r="GP117" s="36"/>
      <c r="GQ117" s="36"/>
      <c r="GR117" s="36"/>
      <c r="GS117" s="36"/>
      <c r="GT117" s="36"/>
      <c r="GU117" s="36"/>
      <c r="GV117" s="36"/>
      <c r="GW117" s="36"/>
      <c r="GX117" s="36"/>
      <c r="GY117" s="36"/>
      <c r="GZ117" s="36"/>
      <c r="HA117" s="36"/>
      <c r="HB117" s="36"/>
      <c r="HC117" s="36"/>
      <c r="HD117" s="36"/>
      <c r="HE117" s="36"/>
      <c r="HF117" s="36"/>
      <c r="HG117" s="36"/>
      <c r="HH117" s="36"/>
      <c r="HI117" s="36"/>
      <c r="HJ117" s="36"/>
      <c r="HK117" s="36"/>
      <c r="HL117" s="36"/>
      <c r="HM117" s="36"/>
      <c r="HN117" s="36"/>
      <c r="HO117" s="36"/>
      <c r="HP117" s="36"/>
      <c r="HQ117" s="36"/>
      <c r="HR117" s="36"/>
      <c r="HS117" s="36"/>
      <c r="HT117" s="36"/>
      <c r="HU117" s="36"/>
      <c r="HV117" s="36"/>
      <c r="HW117" s="36"/>
      <c r="HX117" s="36"/>
      <c r="HY117" s="36"/>
      <c r="HZ117" s="36"/>
      <c r="IA117" s="36"/>
      <c r="IB117" s="36"/>
      <c r="IC117" s="36"/>
      <c r="ID117" s="36"/>
      <c r="IE117" s="36"/>
      <c r="IF117" s="36"/>
      <c r="IG117" s="36"/>
      <c r="IH117" s="36"/>
      <c r="II117" s="36"/>
      <c r="IJ117" s="36"/>
      <c r="IK117" s="36"/>
      <c r="IL117" s="36"/>
      <c r="IM117" s="36"/>
      <c r="IN117" s="36"/>
      <c r="IO117" s="36"/>
      <c r="IP117" s="36"/>
      <c r="IQ117" s="36"/>
      <c r="IR117" s="36"/>
      <c r="IS117" s="36"/>
      <c r="IT117" s="36"/>
      <c r="IU117" s="36"/>
      <c r="IV117" s="36"/>
    </row>
    <row r="118" spans="1:256" s="35" customFormat="1" ht="15">
      <c r="A118" s="36"/>
      <c r="B118" s="141"/>
      <c r="C118" s="22"/>
      <c r="D118" s="22"/>
      <c r="E118" s="22"/>
      <c r="F118" s="22"/>
      <c r="G118" s="22"/>
      <c r="H118" s="22"/>
      <c r="I118" s="22"/>
      <c r="J118" s="22"/>
      <c r="FW118" s="36"/>
      <c r="FX118" s="36"/>
      <c r="FY118" s="36"/>
      <c r="FZ118" s="36"/>
      <c r="GA118" s="36"/>
      <c r="GB118" s="36"/>
      <c r="GC118" s="36"/>
      <c r="GD118" s="36"/>
      <c r="GE118" s="36"/>
      <c r="GF118" s="36"/>
      <c r="GG118" s="36"/>
      <c r="GH118" s="36"/>
      <c r="GI118" s="36"/>
      <c r="GJ118" s="36"/>
      <c r="GK118" s="36"/>
      <c r="GL118" s="36"/>
      <c r="GM118" s="36"/>
      <c r="GN118" s="36"/>
      <c r="GO118" s="36"/>
      <c r="GP118" s="36"/>
      <c r="GQ118" s="36"/>
      <c r="GR118" s="36"/>
      <c r="GS118" s="36"/>
      <c r="GT118" s="36"/>
      <c r="GU118" s="36"/>
      <c r="GV118" s="36"/>
      <c r="GW118" s="36"/>
      <c r="GX118" s="36"/>
      <c r="GY118" s="36"/>
      <c r="GZ118" s="36"/>
      <c r="HA118" s="36"/>
      <c r="HB118" s="36"/>
      <c r="HC118" s="36"/>
      <c r="HD118" s="36"/>
      <c r="HE118" s="36"/>
      <c r="HF118" s="36"/>
      <c r="HG118" s="36"/>
      <c r="HH118" s="36"/>
      <c r="HI118" s="36"/>
      <c r="HJ118" s="36"/>
      <c r="HK118" s="36"/>
      <c r="HL118" s="36"/>
      <c r="HM118" s="36"/>
      <c r="HN118" s="36"/>
      <c r="HO118" s="36"/>
      <c r="HP118" s="36"/>
      <c r="HQ118" s="36"/>
      <c r="HR118" s="36"/>
      <c r="HS118" s="36"/>
      <c r="HT118" s="36"/>
      <c r="HU118" s="36"/>
      <c r="HV118" s="36"/>
      <c r="HW118" s="36"/>
      <c r="HX118" s="36"/>
      <c r="HY118" s="36"/>
      <c r="HZ118" s="36"/>
      <c r="IA118" s="36"/>
      <c r="IB118" s="36"/>
      <c r="IC118" s="36"/>
      <c r="ID118" s="36"/>
      <c r="IE118" s="36"/>
      <c r="IF118" s="36"/>
      <c r="IG118" s="36"/>
      <c r="IH118" s="36"/>
      <c r="II118" s="36"/>
      <c r="IJ118" s="36"/>
      <c r="IK118" s="36"/>
      <c r="IL118" s="36"/>
      <c r="IM118" s="36"/>
      <c r="IN118" s="36"/>
      <c r="IO118" s="36"/>
      <c r="IP118" s="36"/>
      <c r="IQ118" s="36"/>
      <c r="IR118" s="36"/>
      <c r="IS118" s="36"/>
      <c r="IT118" s="36"/>
      <c r="IU118" s="36"/>
      <c r="IV118" s="36"/>
    </row>
    <row r="119" spans="1:256" s="35" customFormat="1" ht="15">
      <c r="A119" s="36"/>
      <c r="B119" s="141"/>
      <c r="C119" s="22"/>
      <c r="D119" s="22"/>
      <c r="E119" s="22"/>
      <c r="F119" s="22"/>
      <c r="G119" s="22"/>
      <c r="H119" s="22"/>
      <c r="I119" s="22"/>
      <c r="J119" s="22"/>
      <c r="FW119" s="36"/>
      <c r="FX119" s="36"/>
      <c r="FY119" s="36"/>
      <c r="FZ119" s="36"/>
      <c r="GA119" s="36"/>
      <c r="GB119" s="36"/>
      <c r="GC119" s="36"/>
      <c r="GD119" s="36"/>
      <c r="GE119" s="36"/>
      <c r="GF119" s="36"/>
      <c r="GG119" s="36"/>
      <c r="GH119" s="36"/>
      <c r="GI119" s="36"/>
      <c r="GJ119" s="36"/>
      <c r="GK119" s="36"/>
      <c r="GL119" s="36"/>
      <c r="GM119" s="36"/>
      <c r="GN119" s="36"/>
      <c r="GO119" s="36"/>
      <c r="GP119" s="36"/>
      <c r="GQ119" s="36"/>
      <c r="GR119" s="36"/>
      <c r="GS119" s="36"/>
      <c r="GT119" s="36"/>
      <c r="GU119" s="36"/>
      <c r="GV119" s="36"/>
      <c r="GW119" s="36"/>
      <c r="GX119" s="36"/>
      <c r="GY119" s="36"/>
      <c r="GZ119" s="36"/>
      <c r="HA119" s="36"/>
      <c r="HB119" s="36"/>
      <c r="HC119" s="36"/>
      <c r="HD119" s="36"/>
      <c r="HE119" s="36"/>
      <c r="HF119" s="36"/>
      <c r="HG119" s="36"/>
      <c r="HH119" s="36"/>
      <c r="HI119" s="36"/>
      <c r="HJ119" s="36"/>
      <c r="HK119" s="36"/>
      <c r="HL119" s="36"/>
      <c r="HM119" s="36"/>
      <c r="HN119" s="36"/>
      <c r="HO119" s="36"/>
      <c r="HP119" s="36"/>
      <c r="HQ119" s="36"/>
      <c r="HR119" s="36"/>
      <c r="HS119" s="36"/>
      <c r="HT119" s="36"/>
      <c r="HU119" s="36"/>
      <c r="HV119" s="36"/>
      <c r="HW119" s="36"/>
      <c r="HX119" s="36"/>
      <c r="HY119" s="36"/>
      <c r="HZ119" s="36"/>
      <c r="IA119" s="36"/>
      <c r="IB119" s="36"/>
      <c r="IC119" s="36"/>
      <c r="ID119" s="36"/>
      <c r="IE119" s="36"/>
      <c r="IF119" s="36"/>
      <c r="IG119" s="36"/>
      <c r="IH119" s="36"/>
      <c r="II119" s="36"/>
      <c r="IJ119" s="36"/>
      <c r="IK119" s="36"/>
      <c r="IL119" s="36"/>
      <c r="IM119" s="36"/>
      <c r="IN119" s="36"/>
      <c r="IO119" s="36"/>
      <c r="IP119" s="36"/>
      <c r="IQ119" s="36"/>
      <c r="IR119" s="36"/>
      <c r="IS119" s="36"/>
      <c r="IT119" s="36"/>
      <c r="IU119" s="36"/>
      <c r="IV119" s="36"/>
    </row>
    <row r="120" spans="1:256" s="35" customFormat="1" ht="15">
      <c r="A120" s="36"/>
      <c r="B120" s="141"/>
      <c r="C120" s="22"/>
      <c r="D120" s="22"/>
      <c r="E120" s="22"/>
      <c r="F120" s="22"/>
      <c r="G120" s="22"/>
      <c r="H120" s="22"/>
      <c r="I120" s="22"/>
      <c r="J120" s="22"/>
      <c r="FW120" s="36"/>
      <c r="FX120" s="36"/>
      <c r="FY120" s="36"/>
      <c r="FZ120" s="36"/>
      <c r="GA120" s="36"/>
      <c r="GB120" s="36"/>
      <c r="GC120" s="36"/>
      <c r="GD120" s="36"/>
      <c r="GE120" s="36"/>
      <c r="GF120" s="36"/>
      <c r="GG120" s="36"/>
      <c r="GH120" s="36"/>
      <c r="GI120" s="36"/>
      <c r="GJ120" s="36"/>
      <c r="GK120" s="36"/>
      <c r="GL120" s="36"/>
      <c r="GM120" s="36"/>
      <c r="GN120" s="36"/>
      <c r="GO120" s="36"/>
      <c r="GP120" s="36"/>
      <c r="GQ120" s="36"/>
      <c r="GR120" s="36"/>
      <c r="GS120" s="36"/>
      <c r="GT120" s="36"/>
      <c r="GU120" s="36"/>
      <c r="GV120" s="36"/>
      <c r="GW120" s="36"/>
      <c r="GX120" s="36"/>
      <c r="GY120" s="36"/>
      <c r="GZ120" s="36"/>
      <c r="HA120" s="36"/>
      <c r="HB120" s="36"/>
      <c r="HC120" s="36"/>
      <c r="HD120" s="36"/>
      <c r="HE120" s="36"/>
      <c r="HF120" s="36"/>
      <c r="HG120" s="36"/>
      <c r="HH120" s="36"/>
      <c r="HI120" s="36"/>
      <c r="HJ120" s="36"/>
      <c r="HK120" s="36"/>
      <c r="HL120" s="36"/>
      <c r="HM120" s="36"/>
      <c r="HN120" s="36"/>
      <c r="HO120" s="36"/>
      <c r="HP120" s="36"/>
      <c r="HQ120" s="36"/>
      <c r="HR120" s="36"/>
      <c r="HS120" s="36"/>
      <c r="HT120" s="36"/>
      <c r="HU120" s="36"/>
      <c r="HV120" s="36"/>
      <c r="HW120" s="36"/>
      <c r="HX120" s="36"/>
      <c r="HY120" s="36"/>
      <c r="HZ120" s="36"/>
      <c r="IA120" s="36"/>
      <c r="IB120" s="36"/>
      <c r="IC120" s="36"/>
      <c r="ID120" s="36"/>
      <c r="IE120" s="36"/>
      <c r="IF120" s="36"/>
      <c r="IG120" s="36"/>
      <c r="IH120" s="36"/>
      <c r="II120" s="36"/>
      <c r="IJ120" s="36"/>
      <c r="IK120" s="36"/>
      <c r="IL120" s="36"/>
      <c r="IM120" s="36"/>
      <c r="IN120" s="36"/>
      <c r="IO120" s="36"/>
      <c r="IP120" s="36"/>
      <c r="IQ120" s="36"/>
      <c r="IR120" s="36"/>
      <c r="IS120" s="36"/>
      <c r="IT120" s="36"/>
      <c r="IU120" s="36"/>
      <c r="IV120" s="36"/>
    </row>
    <row r="121" spans="1:256" s="35" customFormat="1" ht="15">
      <c r="A121" s="36"/>
      <c r="B121" s="141"/>
      <c r="C121" s="22"/>
      <c r="D121" s="22"/>
      <c r="E121" s="22"/>
      <c r="F121" s="22"/>
      <c r="G121" s="22"/>
      <c r="H121" s="22"/>
      <c r="I121" s="22"/>
      <c r="J121" s="22"/>
      <c r="FW121" s="36"/>
      <c r="FX121" s="36"/>
      <c r="FY121" s="36"/>
      <c r="FZ121" s="36"/>
      <c r="GA121" s="36"/>
      <c r="GB121" s="36"/>
      <c r="GC121" s="36"/>
      <c r="GD121" s="36"/>
      <c r="GE121" s="36"/>
      <c r="GF121" s="36"/>
      <c r="GG121" s="36"/>
      <c r="GH121" s="36"/>
      <c r="GI121" s="36"/>
      <c r="GJ121" s="36"/>
      <c r="GK121" s="36"/>
      <c r="GL121" s="36"/>
      <c r="GM121" s="36"/>
      <c r="GN121" s="36"/>
      <c r="GO121" s="36"/>
      <c r="GP121" s="36"/>
      <c r="GQ121" s="36"/>
      <c r="GR121" s="36"/>
      <c r="GS121" s="36"/>
      <c r="GT121" s="36"/>
      <c r="GU121" s="36"/>
      <c r="GV121" s="36"/>
      <c r="GW121" s="36"/>
      <c r="GX121" s="36"/>
      <c r="GY121" s="36"/>
      <c r="GZ121" s="36"/>
      <c r="HA121" s="36"/>
      <c r="HB121" s="36"/>
      <c r="HC121" s="36"/>
      <c r="HD121" s="36"/>
      <c r="HE121" s="36"/>
      <c r="HF121" s="36"/>
      <c r="HG121" s="36"/>
      <c r="HH121" s="36"/>
      <c r="HI121" s="36"/>
      <c r="HJ121" s="36"/>
      <c r="HK121" s="36"/>
      <c r="HL121" s="36"/>
      <c r="HM121" s="36"/>
      <c r="HN121" s="36"/>
      <c r="HO121" s="36"/>
      <c r="HP121" s="36"/>
      <c r="HQ121" s="36"/>
      <c r="HR121" s="36"/>
      <c r="HS121" s="36"/>
      <c r="HT121" s="36"/>
      <c r="HU121" s="36"/>
      <c r="HV121" s="36"/>
      <c r="HW121" s="36"/>
      <c r="HX121" s="36"/>
      <c r="HY121" s="36"/>
      <c r="HZ121" s="36"/>
      <c r="IA121" s="36"/>
      <c r="IB121" s="36"/>
      <c r="IC121" s="36"/>
      <c r="ID121" s="36"/>
      <c r="IE121" s="36"/>
      <c r="IF121" s="36"/>
      <c r="IG121" s="36"/>
      <c r="IH121" s="36"/>
      <c r="II121" s="36"/>
      <c r="IJ121" s="36"/>
      <c r="IK121" s="36"/>
      <c r="IL121" s="36"/>
      <c r="IM121" s="36"/>
      <c r="IN121" s="36"/>
      <c r="IO121" s="36"/>
      <c r="IP121" s="36"/>
      <c r="IQ121" s="36"/>
      <c r="IR121" s="36"/>
      <c r="IS121" s="36"/>
      <c r="IT121" s="36"/>
      <c r="IU121" s="36"/>
      <c r="IV121" s="36"/>
    </row>
    <row r="122" spans="1:256" s="35" customFormat="1" ht="15">
      <c r="A122" s="36"/>
      <c r="B122" s="141"/>
      <c r="C122" s="36"/>
      <c r="D122" s="36"/>
      <c r="E122" s="36"/>
      <c r="F122" s="36"/>
      <c r="G122" s="36"/>
      <c r="H122" s="36"/>
      <c r="I122" s="36"/>
      <c r="J122" s="36"/>
      <c r="FW122" s="36"/>
      <c r="FX122" s="36"/>
      <c r="FY122" s="36"/>
      <c r="FZ122" s="36"/>
      <c r="GA122" s="36"/>
      <c r="GB122" s="36"/>
      <c r="GC122" s="36"/>
      <c r="GD122" s="36"/>
      <c r="GE122" s="36"/>
      <c r="GF122" s="36"/>
      <c r="GG122" s="36"/>
      <c r="GH122" s="36"/>
      <c r="GI122" s="36"/>
      <c r="GJ122" s="36"/>
      <c r="GK122" s="36"/>
      <c r="GL122" s="36"/>
      <c r="GM122" s="36"/>
      <c r="GN122" s="36"/>
      <c r="GO122" s="36"/>
      <c r="GP122" s="36"/>
      <c r="GQ122" s="36"/>
      <c r="GR122" s="36"/>
      <c r="GS122" s="36"/>
      <c r="GT122" s="36"/>
      <c r="GU122" s="36"/>
      <c r="GV122" s="36"/>
      <c r="GW122" s="36"/>
      <c r="GX122" s="36"/>
      <c r="GY122" s="36"/>
      <c r="GZ122" s="36"/>
      <c r="HA122" s="36"/>
      <c r="HB122" s="36"/>
      <c r="HC122" s="36"/>
      <c r="HD122" s="36"/>
      <c r="HE122" s="36"/>
      <c r="HF122" s="36"/>
      <c r="HG122" s="36"/>
      <c r="HH122" s="36"/>
      <c r="HI122" s="36"/>
      <c r="HJ122" s="36"/>
      <c r="HK122" s="36"/>
      <c r="HL122" s="36"/>
      <c r="HM122" s="36"/>
      <c r="HN122" s="36"/>
      <c r="HO122" s="36"/>
      <c r="HP122" s="36"/>
      <c r="HQ122" s="36"/>
      <c r="HR122" s="36"/>
      <c r="HS122" s="36"/>
      <c r="HT122" s="36"/>
      <c r="HU122" s="36"/>
      <c r="HV122" s="36"/>
      <c r="HW122" s="36"/>
      <c r="HX122" s="36"/>
      <c r="HY122" s="36"/>
      <c r="HZ122" s="36"/>
      <c r="IA122" s="36"/>
      <c r="IB122" s="36"/>
      <c r="IC122" s="36"/>
      <c r="ID122" s="36"/>
      <c r="IE122" s="36"/>
      <c r="IF122" s="36"/>
      <c r="IG122" s="36"/>
      <c r="IH122" s="36"/>
      <c r="II122" s="36"/>
      <c r="IJ122" s="36"/>
      <c r="IK122" s="36"/>
      <c r="IL122" s="36"/>
      <c r="IM122" s="36"/>
      <c r="IN122" s="36"/>
      <c r="IO122" s="36"/>
      <c r="IP122" s="36"/>
      <c r="IQ122" s="36"/>
      <c r="IR122" s="36"/>
      <c r="IS122" s="36"/>
      <c r="IT122" s="36"/>
      <c r="IU122" s="36"/>
      <c r="IV122" s="36"/>
    </row>
    <row r="123" spans="1:256" s="35" customFormat="1" ht="15">
      <c r="A123" s="36"/>
      <c r="B123" s="141"/>
      <c r="C123" s="36"/>
      <c r="D123" s="36"/>
      <c r="E123" s="36"/>
      <c r="F123" s="36"/>
      <c r="G123" s="36"/>
      <c r="H123" s="36"/>
      <c r="I123" s="36"/>
      <c r="J123" s="36"/>
      <c r="FW123" s="36"/>
      <c r="FX123" s="36"/>
      <c r="FY123" s="36"/>
      <c r="FZ123" s="36"/>
      <c r="GA123" s="36"/>
      <c r="GB123" s="36"/>
      <c r="GC123" s="36"/>
      <c r="GD123" s="36"/>
      <c r="GE123" s="36"/>
      <c r="GF123" s="36"/>
      <c r="GG123" s="36"/>
      <c r="GH123" s="36"/>
      <c r="GI123" s="36"/>
      <c r="GJ123" s="36"/>
      <c r="GK123" s="36"/>
      <c r="GL123" s="36"/>
      <c r="GM123" s="36"/>
      <c r="GN123" s="36"/>
      <c r="GO123" s="36"/>
      <c r="GP123" s="36"/>
      <c r="GQ123" s="36"/>
      <c r="GR123" s="36"/>
      <c r="GS123" s="36"/>
      <c r="GT123" s="36"/>
      <c r="GU123" s="36"/>
      <c r="GV123" s="36"/>
      <c r="GW123" s="36"/>
      <c r="GX123" s="36"/>
      <c r="GY123" s="36"/>
      <c r="GZ123" s="36"/>
      <c r="HA123" s="36"/>
      <c r="HB123" s="36"/>
      <c r="HC123" s="36"/>
      <c r="HD123" s="36"/>
      <c r="HE123" s="36"/>
      <c r="HF123" s="36"/>
      <c r="HG123" s="36"/>
      <c r="HH123" s="36"/>
      <c r="HI123" s="36"/>
      <c r="HJ123" s="36"/>
      <c r="HK123" s="36"/>
      <c r="HL123" s="36"/>
      <c r="HM123" s="36"/>
      <c r="HN123" s="36"/>
      <c r="HO123" s="36"/>
      <c r="HP123" s="36"/>
      <c r="HQ123" s="36"/>
      <c r="HR123" s="36"/>
      <c r="HS123" s="36"/>
      <c r="HT123" s="36"/>
      <c r="HU123" s="36"/>
      <c r="HV123" s="36"/>
      <c r="HW123" s="36"/>
      <c r="HX123" s="36"/>
      <c r="HY123" s="36"/>
      <c r="HZ123" s="36"/>
      <c r="IA123" s="36"/>
      <c r="IB123" s="36"/>
      <c r="IC123" s="36"/>
      <c r="ID123" s="36"/>
      <c r="IE123" s="36"/>
      <c r="IF123" s="36"/>
      <c r="IG123" s="36"/>
      <c r="IH123" s="36"/>
      <c r="II123" s="36"/>
      <c r="IJ123" s="36"/>
      <c r="IK123" s="36"/>
      <c r="IL123" s="36"/>
      <c r="IM123" s="36"/>
      <c r="IN123" s="36"/>
      <c r="IO123" s="36"/>
      <c r="IP123" s="36"/>
      <c r="IQ123" s="36"/>
      <c r="IR123" s="36"/>
      <c r="IS123" s="36"/>
      <c r="IT123" s="36"/>
      <c r="IU123" s="36"/>
      <c r="IV123" s="36"/>
    </row>
    <row r="124" spans="1:256" s="35" customFormat="1" ht="15">
      <c r="A124" s="36"/>
      <c r="B124" s="141"/>
      <c r="C124" s="36"/>
      <c r="D124" s="36"/>
      <c r="E124" s="36"/>
      <c r="F124" s="36"/>
      <c r="G124" s="36"/>
      <c r="H124" s="36"/>
      <c r="I124" s="36"/>
      <c r="J124" s="36"/>
      <c r="FW124" s="36"/>
      <c r="FX124" s="36"/>
      <c r="FY124" s="36"/>
      <c r="FZ124" s="36"/>
      <c r="GA124" s="36"/>
      <c r="GB124" s="36"/>
      <c r="GC124" s="36"/>
      <c r="GD124" s="36"/>
      <c r="GE124" s="36"/>
      <c r="GF124" s="36"/>
      <c r="GG124" s="36"/>
      <c r="GH124" s="36"/>
      <c r="GI124" s="36"/>
      <c r="GJ124" s="36"/>
      <c r="GK124" s="36"/>
      <c r="GL124" s="36"/>
      <c r="GM124" s="36"/>
      <c r="GN124" s="36"/>
      <c r="GO124" s="36"/>
      <c r="GP124" s="36"/>
      <c r="GQ124" s="36"/>
      <c r="GR124" s="36"/>
      <c r="GS124" s="36"/>
      <c r="GT124" s="36"/>
      <c r="GU124" s="36"/>
      <c r="GV124" s="36"/>
      <c r="GW124" s="36"/>
      <c r="GX124" s="36"/>
      <c r="GY124" s="36"/>
      <c r="GZ124" s="36"/>
      <c r="HA124" s="36"/>
      <c r="HB124" s="36"/>
      <c r="HC124" s="36"/>
      <c r="HD124" s="36"/>
      <c r="HE124" s="36"/>
      <c r="HF124" s="36"/>
      <c r="HG124" s="36"/>
      <c r="HH124" s="36"/>
      <c r="HI124" s="36"/>
      <c r="HJ124" s="36"/>
      <c r="HK124" s="36"/>
      <c r="HL124" s="36"/>
      <c r="HM124" s="36"/>
      <c r="HN124" s="36"/>
      <c r="HO124" s="36"/>
      <c r="HP124" s="36"/>
      <c r="HQ124" s="36"/>
      <c r="HR124" s="36"/>
      <c r="HS124" s="36"/>
      <c r="HT124" s="36"/>
      <c r="HU124" s="36"/>
      <c r="HV124" s="36"/>
      <c r="HW124" s="36"/>
      <c r="HX124" s="36"/>
      <c r="HY124" s="36"/>
      <c r="HZ124" s="36"/>
      <c r="IA124" s="36"/>
      <c r="IB124" s="36"/>
      <c r="IC124" s="36"/>
      <c r="ID124" s="36"/>
      <c r="IE124" s="36"/>
      <c r="IF124" s="36"/>
      <c r="IG124" s="36"/>
      <c r="IH124" s="36"/>
      <c r="II124" s="36"/>
      <c r="IJ124" s="36"/>
      <c r="IK124" s="36"/>
      <c r="IL124" s="36"/>
      <c r="IM124" s="36"/>
      <c r="IN124" s="36"/>
      <c r="IO124" s="36"/>
      <c r="IP124" s="36"/>
      <c r="IQ124" s="36"/>
      <c r="IR124" s="36"/>
      <c r="IS124" s="36"/>
      <c r="IT124" s="36"/>
      <c r="IU124" s="36"/>
      <c r="IV124" s="36"/>
    </row>
    <row r="125" spans="1:256" s="35" customFormat="1" ht="15">
      <c r="A125" s="36"/>
      <c r="B125" s="141"/>
      <c r="C125" s="36"/>
      <c r="D125" s="36"/>
      <c r="E125" s="36"/>
      <c r="F125" s="36"/>
      <c r="G125" s="36"/>
      <c r="H125" s="36"/>
      <c r="I125" s="36"/>
      <c r="J125" s="36"/>
      <c r="FW125" s="36"/>
      <c r="FX125" s="36"/>
      <c r="FY125" s="36"/>
      <c r="FZ125" s="36"/>
      <c r="GA125" s="36"/>
      <c r="GB125" s="36"/>
      <c r="GC125" s="36"/>
      <c r="GD125" s="36"/>
      <c r="GE125" s="36"/>
      <c r="GF125" s="36"/>
      <c r="GG125" s="36"/>
      <c r="GH125" s="36"/>
      <c r="GI125" s="36"/>
      <c r="GJ125" s="36"/>
      <c r="GK125" s="36"/>
      <c r="GL125" s="36"/>
      <c r="GM125" s="36"/>
      <c r="GN125" s="36"/>
      <c r="GO125" s="36"/>
      <c r="GP125" s="36"/>
      <c r="GQ125" s="36"/>
      <c r="GR125" s="36"/>
      <c r="GS125" s="36"/>
      <c r="GT125" s="36"/>
      <c r="GU125" s="36"/>
      <c r="GV125" s="36"/>
      <c r="GW125" s="36"/>
      <c r="GX125" s="36"/>
      <c r="GY125" s="36"/>
      <c r="GZ125" s="36"/>
      <c r="HA125" s="36"/>
      <c r="HB125" s="36"/>
      <c r="HC125" s="36"/>
      <c r="HD125" s="36"/>
      <c r="HE125" s="36"/>
      <c r="HF125" s="36"/>
      <c r="HG125" s="36"/>
      <c r="HH125" s="36"/>
      <c r="HI125" s="36"/>
      <c r="HJ125" s="36"/>
      <c r="HK125" s="36"/>
      <c r="HL125" s="36"/>
      <c r="HM125" s="36"/>
      <c r="HN125" s="36"/>
      <c r="HO125" s="36"/>
      <c r="HP125" s="36"/>
      <c r="HQ125" s="36"/>
      <c r="HR125" s="36"/>
      <c r="HS125" s="36"/>
      <c r="HT125" s="36"/>
      <c r="HU125" s="36"/>
      <c r="HV125" s="36"/>
      <c r="HW125" s="36"/>
      <c r="HX125" s="36"/>
      <c r="HY125" s="36"/>
      <c r="HZ125" s="36"/>
      <c r="IA125" s="36"/>
      <c r="IB125" s="36"/>
      <c r="IC125" s="36"/>
      <c r="ID125" s="36"/>
      <c r="IE125" s="36"/>
      <c r="IF125" s="36"/>
      <c r="IG125" s="36"/>
      <c r="IH125" s="36"/>
      <c r="II125" s="36"/>
      <c r="IJ125" s="36"/>
      <c r="IK125" s="36"/>
      <c r="IL125" s="36"/>
      <c r="IM125" s="36"/>
      <c r="IN125" s="36"/>
      <c r="IO125" s="36"/>
      <c r="IP125" s="36"/>
      <c r="IQ125" s="36"/>
      <c r="IR125" s="36"/>
      <c r="IS125" s="36"/>
      <c r="IT125" s="36"/>
      <c r="IU125" s="36"/>
      <c r="IV125" s="36"/>
    </row>
    <row r="126" spans="1:256" s="35" customFormat="1" ht="15">
      <c r="A126" s="36"/>
      <c r="B126" s="141"/>
      <c r="C126" s="36"/>
      <c r="D126" s="36"/>
      <c r="E126" s="36"/>
      <c r="F126" s="36"/>
      <c r="G126" s="36"/>
      <c r="H126" s="36"/>
      <c r="I126" s="36"/>
      <c r="J126" s="36"/>
      <c r="FW126" s="36"/>
      <c r="FX126" s="36"/>
      <c r="FY126" s="36"/>
      <c r="FZ126" s="36"/>
      <c r="GA126" s="36"/>
      <c r="GB126" s="36"/>
      <c r="GC126" s="36"/>
      <c r="GD126" s="36"/>
      <c r="GE126" s="36"/>
      <c r="GF126" s="36"/>
      <c r="GG126" s="36"/>
      <c r="GH126" s="36"/>
      <c r="GI126" s="36"/>
      <c r="GJ126" s="36"/>
      <c r="GK126" s="36"/>
      <c r="GL126" s="36"/>
      <c r="GM126" s="36"/>
      <c r="GN126" s="36"/>
      <c r="GO126" s="36"/>
      <c r="GP126" s="36"/>
      <c r="GQ126" s="36"/>
      <c r="GR126" s="36"/>
      <c r="GS126" s="36"/>
      <c r="GT126" s="36"/>
      <c r="GU126" s="36"/>
      <c r="GV126" s="36"/>
      <c r="GW126" s="36"/>
      <c r="GX126" s="36"/>
      <c r="GY126" s="36"/>
      <c r="GZ126" s="36"/>
      <c r="HA126" s="36"/>
      <c r="HB126" s="36"/>
      <c r="HC126" s="36"/>
      <c r="HD126" s="36"/>
      <c r="HE126" s="36"/>
      <c r="HF126" s="36"/>
      <c r="HG126" s="36"/>
      <c r="HH126" s="36"/>
      <c r="HI126" s="36"/>
      <c r="HJ126" s="36"/>
      <c r="HK126" s="36"/>
      <c r="HL126" s="36"/>
      <c r="HM126" s="36"/>
      <c r="HN126" s="36"/>
      <c r="HO126" s="36"/>
      <c r="HP126" s="36"/>
      <c r="HQ126" s="36"/>
      <c r="HR126" s="36"/>
      <c r="HS126" s="36"/>
      <c r="HT126" s="36"/>
      <c r="HU126" s="36"/>
      <c r="HV126" s="36"/>
      <c r="HW126" s="36"/>
      <c r="HX126" s="36"/>
      <c r="HY126" s="36"/>
      <c r="HZ126" s="36"/>
      <c r="IA126" s="36"/>
      <c r="IB126" s="36"/>
      <c r="IC126" s="36"/>
      <c r="ID126" s="36"/>
      <c r="IE126" s="36"/>
      <c r="IF126" s="36"/>
      <c r="IG126" s="36"/>
      <c r="IH126" s="36"/>
      <c r="II126" s="36"/>
      <c r="IJ126" s="36"/>
      <c r="IK126" s="36"/>
      <c r="IL126" s="36"/>
      <c r="IM126" s="36"/>
      <c r="IN126" s="36"/>
      <c r="IO126" s="36"/>
      <c r="IP126" s="36"/>
      <c r="IQ126" s="36"/>
      <c r="IR126" s="36"/>
      <c r="IS126" s="36"/>
      <c r="IT126" s="36"/>
      <c r="IU126" s="36"/>
      <c r="IV126" s="36"/>
    </row>
    <row r="127" spans="1:256" s="35" customFormat="1" ht="15">
      <c r="A127" s="36"/>
      <c r="B127" s="141"/>
      <c r="C127" s="36"/>
      <c r="D127" s="36"/>
      <c r="E127" s="36"/>
      <c r="F127" s="36"/>
      <c r="G127" s="36"/>
      <c r="H127" s="36"/>
      <c r="I127" s="36"/>
      <c r="J127" s="36"/>
      <c r="FW127" s="36"/>
      <c r="FX127" s="36"/>
      <c r="FY127" s="36"/>
      <c r="FZ127" s="36"/>
      <c r="GA127" s="36"/>
      <c r="GB127" s="36"/>
      <c r="GC127" s="36"/>
      <c r="GD127" s="36"/>
      <c r="GE127" s="36"/>
      <c r="GF127" s="36"/>
      <c r="GG127" s="36"/>
      <c r="GH127" s="36"/>
      <c r="GI127" s="36"/>
      <c r="GJ127" s="36"/>
      <c r="GK127" s="36"/>
      <c r="GL127" s="36"/>
      <c r="GM127" s="36"/>
      <c r="GN127" s="36"/>
      <c r="GO127" s="36"/>
      <c r="GP127" s="36"/>
      <c r="GQ127" s="36"/>
      <c r="GR127" s="36"/>
      <c r="GS127" s="36"/>
      <c r="GT127" s="36"/>
      <c r="GU127" s="36"/>
      <c r="GV127" s="36"/>
      <c r="GW127" s="36"/>
      <c r="GX127" s="36"/>
      <c r="GY127" s="36"/>
      <c r="GZ127" s="36"/>
      <c r="HA127" s="36"/>
      <c r="HB127" s="36"/>
      <c r="HC127" s="36"/>
      <c r="HD127" s="36"/>
      <c r="HE127" s="36"/>
      <c r="HF127" s="36"/>
      <c r="HG127" s="36"/>
      <c r="HH127" s="36"/>
      <c r="HI127" s="36"/>
      <c r="HJ127" s="36"/>
      <c r="HK127" s="36"/>
      <c r="HL127" s="36"/>
      <c r="HM127" s="36"/>
      <c r="HN127" s="36"/>
      <c r="HO127" s="36"/>
      <c r="HP127" s="36"/>
      <c r="HQ127" s="36"/>
      <c r="HR127" s="36"/>
      <c r="HS127" s="36"/>
      <c r="HT127" s="36"/>
      <c r="HU127" s="36"/>
      <c r="HV127" s="36"/>
      <c r="HW127" s="36"/>
      <c r="HX127" s="36"/>
      <c r="HY127" s="36"/>
      <c r="HZ127" s="36"/>
      <c r="IA127" s="36"/>
      <c r="IB127" s="36"/>
      <c r="IC127" s="36"/>
      <c r="ID127" s="36"/>
      <c r="IE127" s="36"/>
      <c r="IF127" s="36"/>
      <c r="IG127" s="36"/>
      <c r="IH127" s="36"/>
      <c r="II127" s="36"/>
      <c r="IJ127" s="36"/>
      <c r="IK127" s="36"/>
      <c r="IL127" s="36"/>
      <c r="IM127" s="36"/>
      <c r="IN127" s="36"/>
      <c r="IO127" s="36"/>
      <c r="IP127" s="36"/>
      <c r="IQ127" s="36"/>
      <c r="IR127" s="36"/>
      <c r="IS127" s="36"/>
      <c r="IT127" s="36"/>
      <c r="IU127" s="36"/>
      <c r="IV127" s="36"/>
    </row>
    <row r="128" spans="1:256" s="35" customFormat="1" ht="15">
      <c r="A128" s="36"/>
      <c r="B128" s="141"/>
      <c r="C128" s="36"/>
      <c r="D128" s="36"/>
      <c r="E128" s="36"/>
      <c r="F128" s="36"/>
      <c r="G128" s="36"/>
      <c r="H128" s="36"/>
      <c r="I128" s="36"/>
      <c r="J128" s="36"/>
      <c r="FW128" s="36"/>
      <c r="FX128" s="36"/>
      <c r="FY128" s="36"/>
      <c r="FZ128" s="36"/>
      <c r="GA128" s="36"/>
      <c r="GB128" s="36"/>
      <c r="GC128" s="36"/>
      <c r="GD128" s="36"/>
      <c r="GE128" s="36"/>
      <c r="GF128" s="36"/>
      <c r="GG128" s="36"/>
      <c r="GH128" s="36"/>
      <c r="GI128" s="36"/>
      <c r="GJ128" s="36"/>
      <c r="GK128" s="36"/>
      <c r="GL128" s="36"/>
      <c r="GM128" s="36"/>
      <c r="GN128" s="36"/>
      <c r="GO128" s="36"/>
      <c r="GP128" s="36"/>
      <c r="GQ128" s="36"/>
      <c r="GR128" s="36"/>
      <c r="GS128" s="36"/>
      <c r="GT128" s="36"/>
      <c r="GU128" s="36"/>
      <c r="GV128" s="36"/>
      <c r="GW128" s="36"/>
      <c r="GX128" s="36"/>
      <c r="GY128" s="36"/>
      <c r="GZ128" s="36"/>
      <c r="HA128" s="36"/>
      <c r="HB128" s="36"/>
      <c r="HC128" s="36"/>
      <c r="HD128" s="36"/>
      <c r="HE128" s="36"/>
      <c r="HF128" s="36"/>
      <c r="HG128" s="36"/>
      <c r="HH128" s="36"/>
      <c r="HI128" s="36"/>
      <c r="HJ128" s="36"/>
      <c r="HK128" s="36"/>
      <c r="HL128" s="36"/>
      <c r="HM128" s="36"/>
      <c r="HN128" s="36"/>
      <c r="HO128" s="36"/>
      <c r="HP128" s="36"/>
      <c r="HQ128" s="36"/>
      <c r="HR128" s="36"/>
      <c r="HS128" s="36"/>
      <c r="HT128" s="36"/>
      <c r="HU128" s="36"/>
      <c r="HV128" s="36"/>
      <c r="HW128" s="36"/>
      <c r="HX128" s="36"/>
      <c r="HY128" s="36"/>
      <c r="HZ128" s="36"/>
      <c r="IA128" s="36"/>
      <c r="IB128" s="36"/>
      <c r="IC128" s="36"/>
      <c r="ID128" s="36"/>
      <c r="IE128" s="36"/>
      <c r="IF128" s="36"/>
      <c r="IG128" s="36"/>
      <c r="IH128" s="36"/>
      <c r="II128" s="36"/>
      <c r="IJ128" s="36"/>
      <c r="IK128" s="36"/>
      <c r="IL128" s="36"/>
      <c r="IM128" s="36"/>
      <c r="IN128" s="36"/>
      <c r="IO128" s="36"/>
      <c r="IP128" s="36"/>
      <c r="IQ128" s="36"/>
      <c r="IR128" s="36"/>
      <c r="IS128" s="36"/>
      <c r="IT128" s="36"/>
      <c r="IU128" s="36"/>
      <c r="IV128" s="36"/>
    </row>
    <row r="129" spans="1:256" s="35" customFormat="1" ht="15">
      <c r="A129" s="36"/>
      <c r="B129" s="141"/>
      <c r="C129" s="36"/>
      <c r="D129" s="36"/>
      <c r="E129" s="36"/>
      <c r="F129" s="36"/>
      <c r="G129" s="36"/>
      <c r="H129" s="36"/>
      <c r="I129" s="36"/>
      <c r="J129" s="36"/>
      <c r="FW129" s="36"/>
      <c r="FX129" s="36"/>
      <c r="FY129" s="36"/>
      <c r="FZ129" s="36"/>
      <c r="GA129" s="36"/>
      <c r="GB129" s="36"/>
      <c r="GC129" s="36"/>
      <c r="GD129" s="36"/>
      <c r="GE129" s="36"/>
      <c r="GF129" s="36"/>
      <c r="GG129" s="36"/>
      <c r="GH129" s="36"/>
      <c r="GI129" s="36"/>
      <c r="GJ129" s="36"/>
      <c r="GK129" s="36"/>
      <c r="GL129" s="36"/>
      <c r="GM129" s="36"/>
      <c r="GN129" s="36"/>
      <c r="GO129" s="36"/>
      <c r="GP129" s="36"/>
      <c r="GQ129" s="36"/>
      <c r="GR129" s="36"/>
      <c r="GS129" s="36"/>
      <c r="GT129" s="36"/>
      <c r="GU129" s="36"/>
      <c r="GV129" s="36"/>
      <c r="GW129" s="36"/>
      <c r="GX129" s="36"/>
      <c r="GY129" s="36"/>
      <c r="GZ129" s="36"/>
      <c r="HA129" s="36"/>
      <c r="HB129" s="36"/>
      <c r="HC129" s="36"/>
      <c r="HD129" s="36"/>
      <c r="HE129" s="36"/>
      <c r="HF129" s="36"/>
      <c r="HG129" s="36"/>
      <c r="HH129" s="36"/>
      <c r="HI129" s="36"/>
      <c r="HJ129" s="36"/>
      <c r="HK129" s="36"/>
      <c r="HL129" s="36"/>
      <c r="HM129" s="36"/>
      <c r="HN129" s="36"/>
      <c r="HO129" s="36"/>
      <c r="HP129" s="36"/>
      <c r="HQ129" s="36"/>
      <c r="HR129" s="36"/>
      <c r="HS129" s="36"/>
      <c r="HT129" s="36"/>
      <c r="HU129" s="36"/>
      <c r="HV129" s="36"/>
      <c r="HW129" s="36"/>
      <c r="HX129" s="36"/>
      <c r="HY129" s="36"/>
      <c r="HZ129" s="36"/>
      <c r="IA129" s="36"/>
      <c r="IB129" s="36"/>
      <c r="IC129" s="36"/>
      <c r="ID129" s="36"/>
      <c r="IE129" s="36"/>
      <c r="IF129" s="36"/>
      <c r="IG129" s="36"/>
      <c r="IH129" s="36"/>
      <c r="II129" s="36"/>
      <c r="IJ129" s="36"/>
      <c r="IK129" s="36"/>
      <c r="IL129" s="36"/>
      <c r="IM129" s="36"/>
      <c r="IN129" s="36"/>
      <c r="IO129" s="36"/>
      <c r="IP129" s="36"/>
      <c r="IQ129" s="36"/>
      <c r="IR129" s="36"/>
      <c r="IS129" s="36"/>
      <c r="IT129" s="36"/>
      <c r="IU129" s="36"/>
      <c r="IV129" s="36"/>
    </row>
    <row r="130" spans="1:256" s="35" customFormat="1" ht="15">
      <c r="A130" s="36"/>
      <c r="B130" s="141"/>
      <c r="C130" s="36"/>
      <c r="D130" s="36"/>
      <c r="E130" s="36"/>
      <c r="F130" s="36"/>
      <c r="G130" s="36"/>
      <c r="H130" s="36"/>
      <c r="I130" s="36"/>
      <c r="J130" s="36"/>
      <c r="FW130" s="36"/>
      <c r="FX130" s="36"/>
      <c r="FY130" s="36"/>
      <c r="FZ130" s="36"/>
      <c r="GA130" s="36"/>
      <c r="GB130" s="36"/>
      <c r="GC130" s="36"/>
      <c r="GD130" s="36"/>
      <c r="GE130" s="36"/>
      <c r="GF130" s="36"/>
      <c r="GG130" s="36"/>
      <c r="GH130" s="36"/>
      <c r="GI130" s="36"/>
      <c r="GJ130" s="36"/>
      <c r="GK130" s="36"/>
      <c r="GL130" s="36"/>
      <c r="GM130" s="36"/>
      <c r="GN130" s="36"/>
      <c r="GO130" s="36"/>
      <c r="GP130" s="36"/>
      <c r="GQ130" s="36"/>
      <c r="GR130" s="36"/>
      <c r="GS130" s="36"/>
      <c r="GT130" s="36"/>
      <c r="GU130" s="36"/>
      <c r="GV130" s="36"/>
      <c r="GW130" s="36"/>
      <c r="GX130" s="36"/>
      <c r="GY130" s="36"/>
      <c r="GZ130" s="36"/>
      <c r="HA130" s="36"/>
      <c r="HB130" s="36"/>
      <c r="HC130" s="36"/>
      <c r="HD130" s="36"/>
      <c r="HE130" s="36"/>
      <c r="HF130" s="36"/>
      <c r="HG130" s="36"/>
      <c r="HH130" s="36"/>
      <c r="HI130" s="36"/>
      <c r="HJ130" s="36"/>
      <c r="HK130" s="36"/>
      <c r="HL130" s="36"/>
      <c r="HM130" s="36"/>
      <c r="HN130" s="36"/>
      <c r="HO130" s="36"/>
      <c r="HP130" s="36"/>
      <c r="HQ130" s="36"/>
      <c r="HR130" s="36"/>
      <c r="HS130" s="36"/>
      <c r="HT130" s="36"/>
      <c r="HU130" s="36"/>
      <c r="HV130" s="36"/>
      <c r="HW130" s="36"/>
      <c r="HX130" s="36"/>
      <c r="HY130" s="36"/>
      <c r="HZ130" s="36"/>
      <c r="IA130" s="36"/>
      <c r="IB130" s="36"/>
      <c r="IC130" s="36"/>
      <c r="ID130" s="36"/>
      <c r="IE130" s="36"/>
      <c r="IF130" s="36"/>
      <c r="IG130" s="36"/>
      <c r="IH130" s="36"/>
      <c r="II130" s="36"/>
      <c r="IJ130" s="36"/>
      <c r="IK130" s="36"/>
      <c r="IL130" s="36"/>
      <c r="IM130" s="36"/>
      <c r="IN130" s="36"/>
      <c r="IO130" s="36"/>
      <c r="IP130" s="36"/>
      <c r="IQ130" s="36"/>
      <c r="IR130" s="36"/>
      <c r="IS130" s="36"/>
      <c r="IT130" s="36"/>
      <c r="IU130" s="36"/>
      <c r="IV130" s="36"/>
    </row>
    <row r="131" spans="1:256" s="35" customFormat="1" ht="15">
      <c r="A131" s="36"/>
      <c r="B131" s="141"/>
      <c r="C131" s="36"/>
      <c r="D131" s="36"/>
      <c r="E131" s="36"/>
      <c r="F131" s="36"/>
      <c r="G131" s="36"/>
      <c r="H131" s="36"/>
      <c r="I131" s="36"/>
      <c r="J131" s="36"/>
      <c r="FW131" s="36"/>
      <c r="FX131" s="36"/>
      <c r="FY131" s="36"/>
      <c r="FZ131" s="36"/>
      <c r="GA131" s="36"/>
      <c r="GB131" s="36"/>
      <c r="GC131" s="36"/>
      <c r="GD131" s="36"/>
      <c r="GE131" s="36"/>
      <c r="GF131" s="36"/>
      <c r="GG131" s="36"/>
      <c r="GH131" s="36"/>
      <c r="GI131" s="36"/>
      <c r="GJ131" s="36"/>
      <c r="GK131" s="36"/>
      <c r="GL131" s="36"/>
      <c r="GM131" s="36"/>
      <c r="GN131" s="36"/>
      <c r="GO131" s="36"/>
      <c r="GP131" s="36"/>
      <c r="GQ131" s="36"/>
      <c r="GR131" s="36"/>
      <c r="GS131" s="36"/>
      <c r="GT131" s="36"/>
      <c r="GU131" s="36"/>
      <c r="GV131" s="36"/>
      <c r="GW131" s="36"/>
      <c r="GX131" s="36"/>
      <c r="GY131" s="36"/>
      <c r="GZ131" s="36"/>
      <c r="HA131" s="36"/>
      <c r="HB131" s="36"/>
      <c r="HC131" s="36"/>
      <c r="HD131" s="36"/>
      <c r="HE131" s="36"/>
      <c r="HF131" s="36"/>
      <c r="HG131" s="36"/>
      <c r="HH131" s="36"/>
      <c r="HI131" s="36"/>
      <c r="HJ131" s="36"/>
      <c r="HK131" s="36"/>
      <c r="HL131" s="36"/>
      <c r="HM131" s="36"/>
      <c r="HN131" s="36"/>
      <c r="HO131" s="36"/>
      <c r="HP131" s="36"/>
      <c r="HQ131" s="36"/>
      <c r="HR131" s="36"/>
      <c r="HS131" s="36"/>
      <c r="HT131" s="36"/>
      <c r="HU131" s="36"/>
      <c r="HV131" s="36"/>
      <c r="HW131" s="36"/>
      <c r="HX131" s="36"/>
      <c r="HY131" s="36"/>
      <c r="HZ131" s="36"/>
      <c r="IA131" s="36"/>
      <c r="IB131" s="36"/>
      <c r="IC131" s="36"/>
      <c r="ID131" s="36"/>
      <c r="IE131" s="36"/>
      <c r="IF131" s="36"/>
      <c r="IG131" s="36"/>
      <c r="IH131" s="36"/>
      <c r="II131" s="36"/>
      <c r="IJ131" s="36"/>
      <c r="IK131" s="36"/>
      <c r="IL131" s="36"/>
      <c r="IM131" s="36"/>
      <c r="IN131" s="36"/>
      <c r="IO131" s="36"/>
      <c r="IP131" s="36"/>
      <c r="IQ131" s="36"/>
      <c r="IR131" s="36"/>
      <c r="IS131" s="36"/>
      <c r="IT131" s="36"/>
      <c r="IU131" s="36"/>
      <c r="IV131" s="36"/>
    </row>
    <row r="132" spans="1:256" s="35" customFormat="1" ht="15">
      <c r="A132" s="36"/>
      <c r="B132" s="141"/>
      <c r="C132" s="36"/>
      <c r="D132" s="36"/>
      <c r="E132" s="36"/>
      <c r="F132" s="36"/>
      <c r="G132" s="36"/>
      <c r="H132" s="36"/>
      <c r="I132" s="36"/>
      <c r="J132" s="36"/>
      <c r="FW132" s="36"/>
      <c r="FX132" s="36"/>
      <c r="FY132" s="36"/>
      <c r="FZ132" s="36"/>
      <c r="GA132" s="36"/>
      <c r="GB132" s="36"/>
      <c r="GC132" s="36"/>
      <c r="GD132" s="36"/>
      <c r="GE132" s="36"/>
      <c r="GF132" s="36"/>
      <c r="GG132" s="36"/>
      <c r="GH132" s="36"/>
      <c r="GI132" s="36"/>
      <c r="GJ132" s="36"/>
      <c r="GK132" s="36"/>
      <c r="GL132" s="36"/>
      <c r="GM132" s="36"/>
      <c r="GN132" s="36"/>
      <c r="GO132" s="36"/>
      <c r="GP132" s="36"/>
      <c r="GQ132" s="36"/>
      <c r="GR132" s="36"/>
      <c r="GS132" s="36"/>
      <c r="GT132" s="36"/>
      <c r="GU132" s="36"/>
      <c r="GV132" s="36"/>
      <c r="GW132" s="36"/>
      <c r="GX132" s="36"/>
      <c r="GY132" s="36"/>
      <c r="GZ132" s="36"/>
      <c r="HA132" s="36"/>
      <c r="HB132" s="36"/>
      <c r="HC132" s="36"/>
      <c r="HD132" s="36"/>
      <c r="HE132" s="36"/>
      <c r="HF132" s="36"/>
      <c r="HG132" s="36"/>
      <c r="HH132" s="36"/>
      <c r="HI132" s="36"/>
      <c r="HJ132" s="36"/>
      <c r="HK132" s="36"/>
      <c r="HL132" s="36"/>
      <c r="HM132" s="36"/>
      <c r="HN132" s="36"/>
      <c r="HO132" s="36"/>
      <c r="HP132" s="36"/>
      <c r="HQ132" s="36"/>
      <c r="HR132" s="36"/>
      <c r="HS132" s="36"/>
      <c r="HT132" s="36"/>
      <c r="HU132" s="36"/>
      <c r="HV132" s="36"/>
      <c r="HW132" s="36"/>
      <c r="HX132" s="36"/>
      <c r="HY132" s="36"/>
      <c r="HZ132" s="36"/>
      <c r="IA132" s="36"/>
      <c r="IB132" s="36"/>
      <c r="IC132" s="36"/>
      <c r="ID132" s="36"/>
      <c r="IE132" s="36"/>
      <c r="IF132" s="36"/>
      <c r="IG132" s="36"/>
      <c r="IH132" s="36"/>
      <c r="II132" s="36"/>
      <c r="IJ132" s="36"/>
      <c r="IK132" s="36"/>
      <c r="IL132" s="36"/>
      <c r="IM132" s="36"/>
      <c r="IN132" s="36"/>
      <c r="IO132" s="36"/>
      <c r="IP132" s="36"/>
      <c r="IQ132" s="36"/>
      <c r="IR132" s="36"/>
      <c r="IS132" s="36"/>
      <c r="IT132" s="36"/>
      <c r="IU132" s="36"/>
      <c r="IV132" s="36"/>
    </row>
    <row r="133" spans="1:256" s="35" customFormat="1" ht="15">
      <c r="A133" s="36"/>
      <c r="B133" s="141"/>
      <c r="C133" s="36"/>
      <c r="D133" s="36"/>
      <c r="E133" s="36"/>
      <c r="F133" s="36"/>
      <c r="G133" s="36"/>
      <c r="H133" s="36"/>
      <c r="I133" s="36"/>
      <c r="J133" s="36"/>
      <c r="FW133" s="36"/>
      <c r="FX133" s="36"/>
      <c r="FY133" s="36"/>
      <c r="FZ133" s="36"/>
      <c r="GA133" s="36"/>
      <c r="GB133" s="36"/>
      <c r="GC133" s="36"/>
      <c r="GD133" s="36"/>
      <c r="GE133" s="36"/>
      <c r="GF133" s="36"/>
      <c r="GG133" s="36"/>
      <c r="GH133" s="36"/>
      <c r="GI133" s="36"/>
      <c r="GJ133" s="36"/>
      <c r="GK133" s="36"/>
      <c r="GL133" s="36"/>
      <c r="GM133" s="36"/>
      <c r="GN133" s="36"/>
      <c r="GO133" s="36"/>
      <c r="GP133" s="36"/>
      <c r="GQ133" s="36"/>
      <c r="GR133" s="36"/>
      <c r="GS133" s="36"/>
      <c r="GT133" s="36"/>
      <c r="GU133" s="36"/>
      <c r="GV133" s="36"/>
      <c r="GW133" s="36"/>
      <c r="GX133" s="36"/>
      <c r="GY133" s="36"/>
      <c r="GZ133" s="36"/>
      <c r="HA133" s="36"/>
      <c r="HB133" s="36"/>
      <c r="HC133" s="36"/>
      <c r="HD133" s="36"/>
      <c r="HE133" s="36"/>
      <c r="HF133" s="36"/>
      <c r="HG133" s="36"/>
      <c r="HH133" s="36"/>
      <c r="HI133" s="36"/>
      <c r="HJ133" s="36"/>
      <c r="HK133" s="36"/>
      <c r="HL133" s="36"/>
      <c r="HM133" s="36"/>
      <c r="HN133" s="36"/>
      <c r="HO133" s="36"/>
      <c r="HP133" s="36"/>
      <c r="HQ133" s="36"/>
      <c r="HR133" s="36"/>
      <c r="HS133" s="36"/>
      <c r="HT133" s="36"/>
      <c r="HU133" s="36"/>
      <c r="HV133" s="36"/>
      <c r="HW133" s="36"/>
      <c r="HX133" s="36"/>
      <c r="HY133" s="36"/>
      <c r="HZ133" s="36"/>
      <c r="IA133" s="36"/>
      <c r="IB133" s="36"/>
      <c r="IC133" s="36"/>
      <c r="ID133" s="36"/>
      <c r="IE133" s="36"/>
      <c r="IF133" s="36"/>
      <c r="IG133" s="36"/>
      <c r="IH133" s="36"/>
      <c r="II133" s="36"/>
      <c r="IJ133" s="36"/>
      <c r="IK133" s="36"/>
      <c r="IL133" s="36"/>
      <c r="IM133" s="36"/>
      <c r="IN133" s="36"/>
      <c r="IO133" s="36"/>
      <c r="IP133" s="36"/>
      <c r="IQ133" s="36"/>
      <c r="IR133" s="36"/>
      <c r="IS133" s="36"/>
      <c r="IT133" s="36"/>
      <c r="IU133" s="36"/>
      <c r="IV133" s="36"/>
    </row>
    <row r="134" spans="1:256" s="35" customFormat="1" ht="15">
      <c r="A134" s="36"/>
      <c r="B134" s="141"/>
      <c r="C134" s="36"/>
      <c r="D134" s="36"/>
      <c r="E134" s="36"/>
      <c r="F134" s="36"/>
      <c r="G134" s="36"/>
      <c r="H134" s="36"/>
      <c r="I134" s="36"/>
      <c r="J134" s="36"/>
      <c r="FW134" s="36"/>
      <c r="FX134" s="36"/>
      <c r="FY134" s="36"/>
      <c r="FZ134" s="36"/>
      <c r="GA134" s="36"/>
      <c r="GB134" s="36"/>
      <c r="GC134" s="36"/>
      <c r="GD134" s="36"/>
      <c r="GE134" s="36"/>
      <c r="GF134" s="36"/>
      <c r="GG134" s="36"/>
      <c r="GH134" s="36"/>
      <c r="GI134" s="36"/>
      <c r="GJ134" s="36"/>
      <c r="GK134" s="36"/>
      <c r="GL134" s="36"/>
      <c r="GM134" s="36"/>
      <c r="GN134" s="36"/>
      <c r="GO134" s="36"/>
      <c r="GP134" s="36"/>
      <c r="GQ134" s="36"/>
      <c r="GR134" s="36"/>
      <c r="GS134" s="36"/>
      <c r="GT134" s="36"/>
      <c r="GU134" s="36"/>
      <c r="GV134" s="36"/>
      <c r="GW134" s="36"/>
      <c r="GX134" s="36"/>
      <c r="GY134" s="36"/>
      <c r="GZ134" s="36"/>
      <c r="HA134" s="36"/>
      <c r="HB134" s="36"/>
      <c r="HC134" s="36"/>
      <c r="HD134" s="36"/>
      <c r="HE134" s="36"/>
      <c r="HF134" s="36"/>
      <c r="HG134" s="36"/>
      <c r="HH134" s="36"/>
      <c r="HI134" s="36"/>
      <c r="HJ134" s="36"/>
      <c r="HK134" s="36"/>
      <c r="HL134" s="36"/>
      <c r="HM134" s="36"/>
      <c r="HN134" s="36"/>
      <c r="HO134" s="36"/>
      <c r="HP134" s="36"/>
      <c r="HQ134" s="36"/>
      <c r="HR134" s="36"/>
      <c r="HS134" s="36"/>
      <c r="HT134" s="36"/>
      <c r="HU134" s="36"/>
      <c r="HV134" s="36"/>
      <c r="HW134" s="36"/>
      <c r="HX134" s="36"/>
      <c r="HY134" s="36"/>
      <c r="HZ134" s="36"/>
      <c r="IA134" s="36"/>
      <c r="IB134" s="36"/>
      <c r="IC134" s="36"/>
      <c r="ID134" s="36"/>
      <c r="IE134" s="36"/>
      <c r="IF134" s="36"/>
      <c r="IG134" s="36"/>
      <c r="IH134" s="36"/>
      <c r="II134" s="36"/>
      <c r="IJ134" s="36"/>
      <c r="IK134" s="36"/>
      <c r="IL134" s="36"/>
      <c r="IM134" s="36"/>
      <c r="IN134" s="36"/>
      <c r="IO134" s="36"/>
      <c r="IP134" s="36"/>
      <c r="IQ134" s="36"/>
      <c r="IR134" s="36"/>
      <c r="IS134" s="36"/>
      <c r="IT134" s="36"/>
      <c r="IU134" s="36"/>
      <c r="IV134" s="36"/>
    </row>
    <row r="135" spans="1:256" s="35" customFormat="1" ht="15">
      <c r="A135" s="36"/>
      <c r="B135" s="141"/>
      <c r="C135" s="36"/>
      <c r="D135" s="36"/>
      <c r="E135" s="36"/>
      <c r="F135" s="36"/>
      <c r="G135" s="36"/>
      <c r="H135" s="36"/>
      <c r="I135" s="36"/>
      <c r="J135" s="36"/>
      <c r="FW135" s="36"/>
      <c r="FX135" s="36"/>
      <c r="FY135" s="36"/>
      <c r="FZ135" s="36"/>
      <c r="GA135" s="36"/>
      <c r="GB135" s="36"/>
      <c r="GC135" s="36"/>
      <c r="GD135" s="36"/>
      <c r="GE135" s="36"/>
      <c r="GF135" s="36"/>
      <c r="GG135" s="36"/>
      <c r="GH135" s="36"/>
      <c r="GI135" s="36"/>
      <c r="GJ135" s="36"/>
      <c r="GK135" s="36"/>
      <c r="GL135" s="36"/>
      <c r="GM135" s="36"/>
      <c r="GN135" s="36"/>
      <c r="GO135" s="36"/>
      <c r="GP135" s="36"/>
      <c r="GQ135" s="36"/>
      <c r="GR135" s="36"/>
      <c r="GS135" s="36"/>
      <c r="GT135" s="36"/>
      <c r="GU135" s="36"/>
      <c r="GV135" s="36"/>
      <c r="GW135" s="36"/>
      <c r="GX135" s="36"/>
      <c r="GY135" s="36"/>
      <c r="GZ135" s="36"/>
      <c r="HA135" s="36"/>
      <c r="HB135" s="36"/>
      <c r="HC135" s="36"/>
      <c r="HD135" s="36"/>
      <c r="HE135" s="36"/>
      <c r="HF135" s="36"/>
      <c r="HG135" s="36"/>
      <c r="HH135" s="36"/>
      <c r="HI135" s="36"/>
      <c r="HJ135" s="36"/>
      <c r="HK135" s="36"/>
      <c r="HL135" s="36"/>
      <c r="HM135" s="36"/>
      <c r="HN135" s="36"/>
      <c r="HO135" s="36"/>
      <c r="HP135" s="36"/>
      <c r="HQ135" s="36"/>
      <c r="HR135" s="36"/>
      <c r="HS135" s="36"/>
      <c r="HT135" s="36"/>
      <c r="HU135" s="36"/>
      <c r="HV135" s="36"/>
      <c r="HW135" s="36"/>
      <c r="HX135" s="36"/>
      <c r="HY135" s="36"/>
      <c r="HZ135" s="36"/>
      <c r="IA135" s="36"/>
      <c r="IB135" s="36"/>
      <c r="IC135" s="36"/>
      <c r="ID135" s="36"/>
      <c r="IE135" s="36"/>
      <c r="IF135" s="36"/>
      <c r="IG135" s="36"/>
      <c r="IH135" s="36"/>
      <c r="II135" s="36"/>
      <c r="IJ135" s="36"/>
      <c r="IK135" s="36"/>
      <c r="IL135" s="36"/>
      <c r="IM135" s="36"/>
      <c r="IN135" s="36"/>
      <c r="IO135" s="36"/>
      <c r="IP135" s="36"/>
      <c r="IQ135" s="36"/>
      <c r="IR135" s="36"/>
      <c r="IS135" s="36"/>
      <c r="IT135" s="36"/>
      <c r="IU135" s="36"/>
      <c r="IV135" s="36"/>
    </row>
    <row r="136" spans="1:256" s="35" customFormat="1" ht="15">
      <c r="A136" s="36"/>
      <c r="B136" s="141"/>
      <c r="C136" s="36"/>
      <c r="D136" s="36"/>
      <c r="E136" s="36"/>
      <c r="F136" s="36"/>
      <c r="G136" s="36"/>
      <c r="H136" s="36"/>
      <c r="I136" s="36"/>
      <c r="J136" s="36"/>
      <c r="FW136" s="36"/>
      <c r="FX136" s="36"/>
      <c r="FY136" s="36"/>
      <c r="FZ136" s="36"/>
      <c r="GA136" s="36"/>
      <c r="GB136" s="36"/>
      <c r="GC136" s="36"/>
      <c r="GD136" s="36"/>
      <c r="GE136" s="36"/>
      <c r="GF136" s="36"/>
      <c r="GG136" s="36"/>
      <c r="GH136" s="36"/>
      <c r="GI136" s="36"/>
      <c r="GJ136" s="36"/>
      <c r="GK136" s="36"/>
      <c r="GL136" s="36"/>
      <c r="GM136" s="36"/>
      <c r="GN136" s="36"/>
      <c r="GO136" s="36"/>
      <c r="GP136" s="36"/>
      <c r="GQ136" s="36"/>
      <c r="GR136" s="36"/>
      <c r="GS136" s="36"/>
      <c r="GT136" s="36"/>
      <c r="GU136" s="36"/>
      <c r="GV136" s="36"/>
      <c r="GW136" s="36"/>
      <c r="GX136" s="36"/>
      <c r="GY136" s="36"/>
      <c r="GZ136" s="36"/>
      <c r="HA136" s="36"/>
      <c r="HB136" s="36"/>
      <c r="HC136" s="36"/>
      <c r="HD136" s="36"/>
      <c r="HE136" s="36"/>
      <c r="HF136" s="36"/>
      <c r="HG136" s="36"/>
      <c r="HH136" s="36"/>
      <c r="HI136" s="36"/>
      <c r="HJ136" s="36"/>
      <c r="HK136" s="36"/>
      <c r="HL136" s="36"/>
      <c r="HM136" s="36"/>
      <c r="HN136" s="36"/>
      <c r="HO136" s="36"/>
      <c r="HP136" s="36"/>
      <c r="HQ136" s="36"/>
      <c r="HR136" s="36"/>
      <c r="HS136" s="36"/>
      <c r="HT136" s="36"/>
      <c r="HU136" s="36"/>
      <c r="HV136" s="36"/>
      <c r="HW136" s="36"/>
      <c r="HX136" s="36"/>
      <c r="HY136" s="36"/>
      <c r="HZ136" s="36"/>
      <c r="IA136" s="36"/>
      <c r="IB136" s="36"/>
      <c r="IC136" s="36"/>
      <c r="ID136" s="36"/>
      <c r="IE136" s="36"/>
      <c r="IF136" s="36"/>
      <c r="IG136" s="36"/>
      <c r="IH136" s="36"/>
      <c r="II136" s="36"/>
      <c r="IJ136" s="36"/>
      <c r="IK136" s="36"/>
      <c r="IL136" s="36"/>
      <c r="IM136" s="36"/>
      <c r="IN136" s="36"/>
      <c r="IO136" s="36"/>
      <c r="IP136" s="36"/>
      <c r="IQ136" s="36"/>
      <c r="IR136" s="36"/>
      <c r="IS136" s="36"/>
      <c r="IT136" s="36"/>
      <c r="IU136" s="36"/>
      <c r="IV136" s="36"/>
    </row>
    <row r="137" spans="1:256" s="35" customFormat="1" ht="15">
      <c r="A137" s="36"/>
      <c r="B137" s="141"/>
      <c r="C137" s="36"/>
      <c r="D137" s="36"/>
      <c r="E137" s="36"/>
      <c r="F137" s="36"/>
      <c r="G137" s="36"/>
      <c r="H137" s="36"/>
      <c r="I137" s="36"/>
      <c r="J137" s="36"/>
      <c r="FW137" s="36"/>
      <c r="FX137" s="36"/>
      <c r="FY137" s="36"/>
      <c r="FZ137" s="36"/>
      <c r="GA137" s="36"/>
      <c r="GB137" s="36"/>
      <c r="GC137" s="36"/>
      <c r="GD137" s="36"/>
      <c r="GE137" s="36"/>
      <c r="GF137" s="36"/>
      <c r="GG137" s="36"/>
      <c r="GH137" s="36"/>
      <c r="GI137" s="36"/>
      <c r="GJ137" s="36"/>
      <c r="GK137" s="36"/>
      <c r="GL137" s="36"/>
      <c r="GM137" s="36"/>
      <c r="GN137" s="36"/>
      <c r="GO137" s="36"/>
      <c r="GP137" s="36"/>
      <c r="GQ137" s="36"/>
      <c r="GR137" s="36"/>
      <c r="GS137" s="36"/>
      <c r="GT137" s="36"/>
      <c r="GU137" s="36"/>
      <c r="GV137" s="36"/>
      <c r="GW137" s="36"/>
      <c r="GX137" s="36"/>
      <c r="GY137" s="36"/>
      <c r="GZ137" s="36"/>
      <c r="HA137" s="36"/>
      <c r="HB137" s="36"/>
      <c r="HC137" s="36"/>
      <c r="HD137" s="36"/>
      <c r="HE137" s="36"/>
      <c r="HF137" s="36"/>
      <c r="HG137" s="36"/>
      <c r="HH137" s="36"/>
      <c r="HI137" s="36"/>
      <c r="HJ137" s="36"/>
      <c r="HK137" s="36"/>
      <c r="HL137" s="36"/>
      <c r="HM137" s="36"/>
      <c r="HN137" s="36"/>
      <c r="HO137" s="36"/>
      <c r="HP137" s="36"/>
      <c r="HQ137" s="36"/>
      <c r="HR137" s="36"/>
      <c r="HS137" s="36"/>
      <c r="HT137" s="36"/>
      <c r="HU137" s="36"/>
      <c r="HV137" s="36"/>
      <c r="HW137" s="36"/>
      <c r="HX137" s="36"/>
      <c r="HY137" s="36"/>
      <c r="HZ137" s="36"/>
      <c r="IA137" s="36"/>
      <c r="IB137" s="36"/>
      <c r="IC137" s="36"/>
      <c r="ID137" s="36"/>
      <c r="IE137" s="36"/>
      <c r="IF137" s="36"/>
      <c r="IG137" s="36"/>
      <c r="IH137" s="36"/>
      <c r="II137" s="36"/>
      <c r="IJ137" s="36"/>
      <c r="IK137" s="36"/>
      <c r="IL137" s="36"/>
      <c r="IM137" s="36"/>
      <c r="IN137" s="36"/>
      <c r="IO137" s="36"/>
      <c r="IP137" s="36"/>
      <c r="IQ137" s="36"/>
      <c r="IR137" s="36"/>
      <c r="IS137" s="36"/>
      <c r="IT137" s="36"/>
      <c r="IU137" s="36"/>
      <c r="IV137" s="36"/>
    </row>
    <row r="138" spans="1:256" s="35" customFormat="1" ht="15">
      <c r="A138" s="36"/>
      <c r="B138" s="141"/>
      <c r="C138" s="36"/>
      <c r="D138" s="36"/>
      <c r="E138" s="36"/>
      <c r="F138" s="36"/>
      <c r="G138" s="36"/>
      <c r="H138" s="36"/>
      <c r="I138" s="36"/>
      <c r="J138" s="36"/>
      <c r="FW138" s="36"/>
      <c r="FX138" s="36"/>
      <c r="FY138" s="36"/>
      <c r="FZ138" s="36"/>
      <c r="GA138" s="36"/>
      <c r="GB138" s="36"/>
      <c r="GC138" s="36"/>
      <c r="GD138" s="36"/>
      <c r="GE138" s="36"/>
      <c r="GF138" s="36"/>
      <c r="GG138" s="36"/>
      <c r="GH138" s="36"/>
      <c r="GI138" s="36"/>
      <c r="GJ138" s="36"/>
      <c r="GK138" s="36"/>
      <c r="GL138" s="36"/>
      <c r="GM138" s="36"/>
      <c r="GN138" s="36"/>
      <c r="GO138" s="36"/>
      <c r="GP138" s="36"/>
      <c r="GQ138" s="36"/>
      <c r="GR138" s="36"/>
      <c r="GS138" s="36"/>
      <c r="GT138" s="36"/>
      <c r="GU138" s="36"/>
      <c r="GV138" s="36"/>
      <c r="GW138" s="36"/>
      <c r="GX138" s="36"/>
      <c r="GY138" s="36"/>
      <c r="GZ138" s="36"/>
      <c r="HA138" s="36"/>
      <c r="HB138" s="36"/>
      <c r="HC138" s="36"/>
      <c r="HD138" s="36"/>
      <c r="HE138" s="36"/>
      <c r="HF138" s="36"/>
      <c r="HG138" s="36"/>
      <c r="HH138" s="36"/>
      <c r="HI138" s="36"/>
      <c r="HJ138" s="36"/>
      <c r="HK138" s="36"/>
      <c r="HL138" s="36"/>
      <c r="HM138" s="36"/>
      <c r="HN138" s="36"/>
      <c r="HO138" s="36"/>
      <c r="HP138" s="36"/>
      <c r="HQ138" s="36"/>
      <c r="HR138" s="36"/>
      <c r="HS138" s="36"/>
      <c r="HT138" s="36"/>
      <c r="HU138" s="36"/>
      <c r="HV138" s="36"/>
      <c r="HW138" s="36"/>
      <c r="HX138" s="36"/>
      <c r="HY138" s="36"/>
      <c r="HZ138" s="36"/>
      <c r="IA138" s="36"/>
      <c r="IB138" s="36"/>
      <c r="IC138" s="36"/>
      <c r="ID138" s="36"/>
      <c r="IE138" s="36"/>
      <c r="IF138" s="36"/>
      <c r="IG138" s="36"/>
      <c r="IH138" s="36"/>
      <c r="II138" s="36"/>
      <c r="IJ138" s="36"/>
      <c r="IK138" s="36"/>
      <c r="IL138" s="36"/>
      <c r="IM138" s="36"/>
      <c r="IN138" s="36"/>
      <c r="IO138" s="36"/>
      <c r="IP138" s="36"/>
      <c r="IQ138" s="36"/>
      <c r="IR138" s="36"/>
      <c r="IS138" s="36"/>
      <c r="IT138" s="36"/>
      <c r="IU138" s="36"/>
      <c r="IV138" s="36"/>
    </row>
    <row r="139" spans="1:256" s="35" customFormat="1" ht="15">
      <c r="A139" s="36"/>
      <c r="B139" s="141"/>
      <c r="C139" s="36"/>
      <c r="D139" s="36"/>
      <c r="E139" s="36"/>
      <c r="F139" s="36"/>
      <c r="G139" s="36"/>
      <c r="H139" s="36"/>
      <c r="I139" s="36"/>
      <c r="J139" s="36"/>
      <c r="FW139" s="36"/>
      <c r="FX139" s="36"/>
      <c r="FY139" s="36"/>
      <c r="FZ139" s="36"/>
      <c r="GA139" s="36"/>
      <c r="GB139" s="36"/>
      <c r="GC139" s="36"/>
      <c r="GD139" s="36"/>
      <c r="GE139" s="36"/>
      <c r="GF139" s="36"/>
      <c r="GG139" s="36"/>
      <c r="GH139" s="36"/>
      <c r="GI139" s="36"/>
      <c r="GJ139" s="36"/>
      <c r="GK139" s="36"/>
      <c r="GL139" s="36"/>
      <c r="GM139" s="36"/>
      <c r="GN139" s="36"/>
      <c r="GO139" s="36"/>
      <c r="GP139" s="36"/>
      <c r="GQ139" s="36"/>
      <c r="GR139" s="36"/>
      <c r="GS139" s="36"/>
      <c r="GT139" s="36"/>
      <c r="GU139" s="36"/>
      <c r="GV139" s="36"/>
      <c r="GW139" s="36"/>
      <c r="GX139" s="36"/>
      <c r="GY139" s="36"/>
      <c r="GZ139" s="36"/>
      <c r="HA139" s="36"/>
      <c r="HB139" s="36"/>
      <c r="HC139" s="36"/>
      <c r="HD139" s="36"/>
      <c r="HE139" s="36"/>
      <c r="HF139" s="36"/>
      <c r="HG139" s="36"/>
      <c r="HH139" s="36"/>
      <c r="HI139" s="36"/>
      <c r="HJ139" s="36"/>
      <c r="HK139" s="36"/>
      <c r="HL139" s="36"/>
      <c r="HM139" s="36"/>
      <c r="HN139" s="36"/>
      <c r="HO139" s="36"/>
      <c r="HP139" s="36"/>
      <c r="HQ139" s="36"/>
      <c r="HR139" s="36"/>
      <c r="HS139" s="36"/>
      <c r="HT139" s="36"/>
      <c r="HU139" s="36"/>
      <c r="HV139" s="36"/>
      <c r="HW139" s="36"/>
      <c r="HX139" s="36"/>
      <c r="HY139" s="36"/>
      <c r="HZ139" s="36"/>
      <c r="IA139" s="36"/>
      <c r="IB139" s="36"/>
      <c r="IC139" s="36"/>
      <c r="ID139" s="36"/>
      <c r="IE139" s="36"/>
      <c r="IF139" s="36"/>
      <c r="IG139" s="36"/>
      <c r="IH139" s="36"/>
      <c r="II139" s="36"/>
      <c r="IJ139" s="36"/>
      <c r="IK139" s="36"/>
      <c r="IL139" s="36"/>
      <c r="IM139" s="36"/>
      <c r="IN139" s="36"/>
      <c r="IO139" s="36"/>
      <c r="IP139" s="36"/>
      <c r="IQ139" s="36"/>
      <c r="IR139" s="36"/>
      <c r="IS139" s="36"/>
      <c r="IT139" s="36"/>
      <c r="IU139" s="36"/>
      <c r="IV139" s="36"/>
    </row>
    <row r="140" spans="1:256" s="35" customFormat="1" ht="15">
      <c r="A140" s="36"/>
      <c r="B140" s="141"/>
      <c r="C140" s="36"/>
      <c r="D140" s="36"/>
      <c r="E140" s="36"/>
      <c r="F140" s="36"/>
      <c r="G140" s="36"/>
      <c r="H140" s="36"/>
      <c r="I140" s="36"/>
      <c r="J140" s="36"/>
      <c r="FW140" s="36"/>
      <c r="FX140" s="36"/>
      <c r="FY140" s="36"/>
      <c r="FZ140" s="36"/>
      <c r="GA140" s="36"/>
      <c r="GB140" s="36"/>
      <c r="GC140" s="36"/>
      <c r="GD140" s="36"/>
      <c r="GE140" s="36"/>
      <c r="GF140" s="36"/>
      <c r="GG140" s="36"/>
      <c r="GH140" s="36"/>
      <c r="GI140" s="36"/>
      <c r="GJ140" s="36"/>
      <c r="GK140" s="36"/>
      <c r="GL140" s="36"/>
      <c r="GM140" s="36"/>
      <c r="GN140" s="36"/>
      <c r="GO140" s="36"/>
      <c r="GP140" s="36"/>
      <c r="GQ140" s="36"/>
      <c r="GR140" s="36"/>
      <c r="GS140" s="36"/>
      <c r="GT140" s="36"/>
      <c r="GU140" s="36"/>
      <c r="GV140" s="36"/>
      <c r="GW140" s="36"/>
      <c r="GX140" s="36"/>
      <c r="GY140" s="36"/>
      <c r="GZ140" s="36"/>
      <c r="HA140" s="36"/>
      <c r="HB140" s="36"/>
      <c r="HC140" s="36"/>
      <c r="HD140" s="36"/>
      <c r="HE140" s="36"/>
      <c r="HF140" s="36"/>
      <c r="HG140" s="36"/>
      <c r="HH140" s="36"/>
      <c r="HI140" s="36"/>
      <c r="HJ140" s="36"/>
      <c r="HK140" s="36"/>
      <c r="HL140" s="36"/>
      <c r="HM140" s="36"/>
      <c r="HN140" s="36"/>
      <c r="HO140" s="36"/>
      <c r="HP140" s="36"/>
      <c r="HQ140" s="36"/>
      <c r="HR140" s="36"/>
      <c r="HS140" s="36"/>
      <c r="HT140" s="36"/>
      <c r="HU140" s="36"/>
      <c r="HV140" s="36"/>
      <c r="HW140" s="36"/>
      <c r="HX140" s="36"/>
      <c r="HY140" s="36"/>
      <c r="HZ140" s="36"/>
      <c r="IA140" s="36"/>
      <c r="IB140" s="36"/>
      <c r="IC140" s="36"/>
      <c r="ID140" s="36"/>
      <c r="IE140" s="36"/>
      <c r="IF140" s="36"/>
      <c r="IG140" s="36"/>
      <c r="IH140" s="36"/>
      <c r="II140" s="36"/>
      <c r="IJ140" s="36"/>
      <c r="IK140" s="36"/>
      <c r="IL140" s="36"/>
      <c r="IM140" s="36"/>
      <c r="IN140" s="36"/>
      <c r="IO140" s="36"/>
      <c r="IP140" s="36"/>
      <c r="IQ140" s="36"/>
      <c r="IR140" s="36"/>
      <c r="IS140" s="36"/>
      <c r="IT140" s="36"/>
      <c r="IU140" s="36"/>
      <c r="IV140" s="36"/>
    </row>
    <row r="141" spans="1:256" s="35" customFormat="1" ht="15">
      <c r="A141" s="36"/>
      <c r="B141" s="141"/>
      <c r="C141" s="36"/>
      <c r="D141" s="36"/>
      <c r="E141" s="36"/>
      <c r="F141" s="36"/>
      <c r="G141" s="36"/>
      <c r="H141" s="36"/>
      <c r="I141" s="36"/>
      <c r="J141" s="36"/>
      <c r="FW141" s="36"/>
      <c r="FX141" s="36"/>
      <c r="FY141" s="36"/>
      <c r="FZ141" s="36"/>
      <c r="GA141" s="36"/>
      <c r="GB141" s="36"/>
      <c r="GC141" s="36"/>
      <c r="GD141" s="36"/>
      <c r="GE141" s="36"/>
      <c r="GF141" s="36"/>
      <c r="GG141" s="36"/>
      <c r="GH141" s="36"/>
      <c r="GI141" s="36"/>
      <c r="GJ141" s="36"/>
      <c r="GK141" s="36"/>
      <c r="GL141" s="36"/>
      <c r="GM141" s="36"/>
      <c r="GN141" s="36"/>
      <c r="GO141" s="36"/>
      <c r="GP141" s="36"/>
      <c r="GQ141" s="36"/>
      <c r="GR141" s="36"/>
      <c r="GS141" s="36"/>
      <c r="GT141" s="36"/>
      <c r="GU141" s="36"/>
      <c r="GV141" s="36"/>
      <c r="GW141" s="36"/>
      <c r="GX141" s="36"/>
      <c r="GY141" s="36"/>
      <c r="GZ141" s="36"/>
      <c r="HA141" s="36"/>
      <c r="HB141" s="36"/>
      <c r="HC141" s="36"/>
      <c r="HD141" s="36"/>
      <c r="HE141" s="36"/>
      <c r="HF141" s="36"/>
      <c r="HG141" s="36"/>
      <c r="HH141" s="36"/>
      <c r="HI141" s="36"/>
      <c r="HJ141" s="36"/>
      <c r="HK141" s="36"/>
      <c r="HL141" s="36"/>
      <c r="HM141" s="36"/>
      <c r="HN141" s="36"/>
      <c r="HO141" s="36"/>
      <c r="HP141" s="36"/>
      <c r="HQ141" s="36"/>
      <c r="HR141" s="36"/>
      <c r="HS141" s="36"/>
      <c r="HT141" s="36"/>
      <c r="HU141" s="36"/>
      <c r="HV141" s="36"/>
      <c r="HW141" s="36"/>
      <c r="HX141" s="36"/>
      <c r="HY141" s="36"/>
      <c r="HZ141" s="36"/>
      <c r="IA141" s="36"/>
      <c r="IB141" s="36"/>
      <c r="IC141" s="36"/>
      <c r="ID141" s="36"/>
      <c r="IE141" s="36"/>
      <c r="IF141" s="36"/>
      <c r="IG141" s="36"/>
      <c r="IH141" s="36"/>
      <c r="II141" s="36"/>
      <c r="IJ141" s="36"/>
      <c r="IK141" s="36"/>
      <c r="IL141" s="36"/>
      <c r="IM141" s="36"/>
      <c r="IN141" s="36"/>
      <c r="IO141" s="36"/>
      <c r="IP141" s="36"/>
      <c r="IQ141" s="36"/>
      <c r="IR141" s="36"/>
      <c r="IS141" s="36"/>
      <c r="IT141" s="36"/>
      <c r="IU141" s="36"/>
      <c r="IV141" s="36"/>
    </row>
    <row r="142" spans="1:256" s="35" customFormat="1" ht="15">
      <c r="A142" s="36"/>
      <c r="B142" s="141"/>
      <c r="C142" s="36"/>
      <c r="D142" s="36"/>
      <c r="E142" s="36"/>
      <c r="F142" s="36"/>
      <c r="G142" s="36"/>
      <c r="H142" s="36"/>
      <c r="I142" s="36"/>
      <c r="J142" s="36"/>
      <c r="FW142" s="36"/>
      <c r="FX142" s="36"/>
      <c r="FY142" s="36"/>
      <c r="FZ142" s="36"/>
      <c r="GA142" s="36"/>
      <c r="GB142" s="36"/>
      <c r="GC142" s="36"/>
      <c r="GD142" s="36"/>
      <c r="GE142" s="36"/>
      <c r="GF142" s="36"/>
      <c r="GG142" s="36"/>
      <c r="GH142" s="36"/>
      <c r="GI142" s="36"/>
      <c r="GJ142" s="36"/>
      <c r="GK142" s="36"/>
      <c r="GL142" s="36"/>
      <c r="GM142" s="36"/>
      <c r="GN142" s="36"/>
      <c r="GO142" s="36"/>
      <c r="GP142" s="36"/>
      <c r="GQ142" s="36"/>
      <c r="GR142" s="36"/>
      <c r="GS142" s="36"/>
      <c r="GT142" s="36"/>
      <c r="GU142" s="36"/>
      <c r="GV142" s="36"/>
      <c r="GW142" s="36"/>
      <c r="GX142" s="36"/>
      <c r="GY142" s="36"/>
      <c r="GZ142" s="36"/>
      <c r="HA142" s="36"/>
      <c r="HB142" s="36"/>
      <c r="HC142" s="36"/>
      <c r="HD142" s="36"/>
      <c r="HE142" s="36"/>
      <c r="HF142" s="36"/>
      <c r="HG142" s="36"/>
      <c r="HH142" s="36"/>
      <c r="HI142" s="36"/>
      <c r="HJ142" s="36"/>
      <c r="HK142" s="36"/>
      <c r="HL142" s="36"/>
      <c r="HM142" s="36"/>
      <c r="HN142" s="36"/>
      <c r="HO142" s="36"/>
      <c r="HP142" s="36"/>
      <c r="HQ142" s="36"/>
      <c r="HR142" s="36"/>
      <c r="HS142" s="36"/>
      <c r="HT142" s="36"/>
      <c r="HU142" s="36"/>
      <c r="HV142" s="36"/>
      <c r="HW142" s="36"/>
      <c r="HX142" s="36"/>
      <c r="HY142" s="36"/>
      <c r="HZ142" s="36"/>
      <c r="IA142" s="36"/>
      <c r="IB142" s="36"/>
      <c r="IC142" s="36"/>
      <c r="ID142" s="36"/>
      <c r="IE142" s="36"/>
      <c r="IF142" s="36"/>
      <c r="IG142" s="36"/>
      <c r="IH142" s="36"/>
      <c r="II142" s="36"/>
      <c r="IJ142" s="36"/>
      <c r="IK142" s="36"/>
      <c r="IL142" s="36"/>
      <c r="IM142" s="36"/>
      <c r="IN142" s="36"/>
      <c r="IO142" s="36"/>
      <c r="IP142" s="36"/>
      <c r="IQ142" s="36"/>
      <c r="IR142" s="36"/>
      <c r="IS142" s="36"/>
      <c r="IT142" s="36"/>
      <c r="IU142" s="36"/>
      <c r="IV142" s="36"/>
    </row>
    <row r="143" spans="1:256" s="35" customFormat="1" ht="15">
      <c r="A143" s="36"/>
      <c r="B143" s="141"/>
      <c r="C143" s="36"/>
      <c r="D143" s="36"/>
      <c r="E143" s="36"/>
      <c r="F143" s="36"/>
      <c r="G143" s="36"/>
      <c r="H143" s="36"/>
      <c r="I143" s="36"/>
      <c r="J143" s="36"/>
      <c r="FW143" s="36"/>
      <c r="FX143" s="36"/>
      <c r="FY143" s="36"/>
      <c r="FZ143" s="36"/>
      <c r="GA143" s="36"/>
      <c r="GB143" s="36"/>
      <c r="GC143" s="36"/>
      <c r="GD143" s="36"/>
      <c r="GE143" s="36"/>
      <c r="GF143" s="36"/>
      <c r="GG143" s="36"/>
      <c r="GH143" s="36"/>
      <c r="GI143" s="36"/>
      <c r="GJ143" s="36"/>
      <c r="GK143" s="36"/>
      <c r="GL143" s="36"/>
      <c r="GM143" s="36"/>
      <c r="GN143" s="36"/>
      <c r="GO143" s="36"/>
      <c r="GP143" s="36"/>
      <c r="GQ143" s="36"/>
      <c r="GR143" s="36"/>
      <c r="GS143" s="36"/>
      <c r="GT143" s="36"/>
      <c r="GU143" s="36"/>
      <c r="GV143" s="36"/>
      <c r="GW143" s="36"/>
      <c r="GX143" s="36"/>
      <c r="GY143" s="36"/>
      <c r="GZ143" s="36"/>
      <c r="HA143" s="36"/>
      <c r="HB143" s="36"/>
      <c r="HC143" s="36"/>
      <c r="HD143" s="36"/>
      <c r="HE143" s="36"/>
      <c r="HF143" s="36"/>
      <c r="HG143" s="36"/>
      <c r="HH143" s="36"/>
      <c r="HI143" s="36"/>
      <c r="HJ143" s="36"/>
      <c r="HK143" s="36"/>
      <c r="HL143" s="36"/>
      <c r="HM143" s="36"/>
      <c r="HN143" s="36"/>
      <c r="HO143" s="36"/>
      <c r="HP143" s="36"/>
      <c r="HQ143" s="36"/>
      <c r="HR143" s="36"/>
      <c r="HS143" s="36"/>
      <c r="HT143" s="36"/>
      <c r="HU143" s="36"/>
      <c r="HV143" s="36"/>
      <c r="HW143" s="36"/>
      <c r="HX143" s="36"/>
      <c r="HY143" s="36"/>
      <c r="HZ143" s="36"/>
      <c r="IA143" s="36"/>
      <c r="IB143" s="36"/>
      <c r="IC143" s="36"/>
      <c r="ID143" s="36"/>
      <c r="IE143" s="36"/>
      <c r="IF143" s="36"/>
      <c r="IG143" s="36"/>
      <c r="IH143" s="36"/>
      <c r="II143" s="36"/>
      <c r="IJ143" s="36"/>
      <c r="IK143" s="36"/>
      <c r="IL143" s="36"/>
      <c r="IM143" s="36"/>
      <c r="IN143" s="36"/>
      <c r="IO143" s="36"/>
      <c r="IP143" s="36"/>
      <c r="IQ143" s="36"/>
      <c r="IR143" s="36"/>
      <c r="IS143" s="36"/>
      <c r="IT143" s="36"/>
      <c r="IU143" s="36"/>
      <c r="IV143" s="36"/>
    </row>
    <row r="144" spans="1:256" s="35" customFormat="1" ht="15">
      <c r="A144" s="36"/>
      <c r="B144" s="141"/>
      <c r="C144" s="36"/>
      <c r="D144" s="36"/>
      <c r="E144" s="36"/>
      <c r="F144" s="36"/>
      <c r="G144" s="36"/>
      <c r="H144" s="36"/>
      <c r="I144" s="36"/>
      <c r="J144" s="36"/>
      <c r="FW144" s="36"/>
      <c r="FX144" s="36"/>
      <c r="FY144" s="36"/>
      <c r="FZ144" s="36"/>
      <c r="GA144" s="36"/>
      <c r="GB144" s="36"/>
      <c r="GC144" s="36"/>
      <c r="GD144" s="36"/>
      <c r="GE144" s="36"/>
      <c r="GF144" s="36"/>
      <c r="GG144" s="36"/>
      <c r="GH144" s="36"/>
      <c r="GI144" s="36"/>
      <c r="GJ144" s="36"/>
      <c r="GK144" s="36"/>
      <c r="GL144" s="36"/>
      <c r="GM144" s="36"/>
      <c r="GN144" s="36"/>
      <c r="GO144" s="36"/>
      <c r="GP144" s="36"/>
      <c r="GQ144" s="36"/>
      <c r="GR144" s="36"/>
      <c r="GS144" s="36"/>
      <c r="GT144" s="36"/>
      <c r="GU144" s="36"/>
      <c r="GV144" s="36"/>
      <c r="GW144" s="36"/>
      <c r="GX144" s="36"/>
      <c r="GY144" s="36"/>
      <c r="GZ144" s="36"/>
      <c r="HA144" s="36"/>
      <c r="HB144" s="36"/>
      <c r="HC144" s="36"/>
      <c r="HD144" s="36"/>
      <c r="HE144" s="36"/>
      <c r="HF144" s="36"/>
      <c r="HG144" s="36"/>
      <c r="HH144" s="36"/>
      <c r="HI144" s="36"/>
      <c r="HJ144" s="36"/>
      <c r="HK144" s="36"/>
      <c r="HL144" s="36"/>
      <c r="HM144" s="36"/>
      <c r="HN144" s="36"/>
      <c r="HO144" s="36"/>
      <c r="HP144" s="36"/>
      <c r="HQ144" s="36"/>
      <c r="HR144" s="36"/>
      <c r="HS144" s="36"/>
      <c r="HT144" s="36"/>
      <c r="HU144" s="36"/>
      <c r="HV144" s="36"/>
      <c r="HW144" s="36"/>
      <c r="HX144" s="36"/>
      <c r="HY144" s="36"/>
      <c r="HZ144" s="36"/>
      <c r="IA144" s="36"/>
      <c r="IB144" s="36"/>
      <c r="IC144" s="36"/>
      <c r="ID144" s="36"/>
      <c r="IE144" s="36"/>
      <c r="IF144" s="36"/>
      <c r="IG144" s="36"/>
      <c r="IH144" s="36"/>
      <c r="II144" s="36"/>
      <c r="IJ144" s="36"/>
      <c r="IK144" s="36"/>
      <c r="IL144" s="36"/>
      <c r="IM144" s="36"/>
      <c r="IN144" s="36"/>
      <c r="IO144" s="36"/>
      <c r="IP144" s="36"/>
      <c r="IQ144" s="36"/>
      <c r="IR144" s="36"/>
      <c r="IS144" s="36"/>
      <c r="IT144" s="36"/>
      <c r="IU144" s="36"/>
      <c r="IV144" s="36"/>
    </row>
    <row r="145" spans="1:256" s="35" customFormat="1" ht="15">
      <c r="A145" s="36"/>
      <c r="B145" s="141"/>
      <c r="C145" s="36"/>
      <c r="D145" s="36"/>
      <c r="E145" s="36"/>
      <c r="F145" s="36"/>
      <c r="G145" s="36"/>
      <c r="H145" s="36"/>
      <c r="I145" s="36"/>
      <c r="J145" s="36"/>
      <c r="FW145" s="36"/>
      <c r="FX145" s="36"/>
      <c r="FY145" s="36"/>
      <c r="FZ145" s="36"/>
      <c r="GA145" s="36"/>
      <c r="GB145" s="36"/>
      <c r="GC145" s="36"/>
      <c r="GD145" s="36"/>
      <c r="GE145" s="36"/>
      <c r="GF145" s="36"/>
      <c r="GG145" s="36"/>
      <c r="GH145" s="36"/>
      <c r="GI145" s="36"/>
      <c r="GJ145" s="36"/>
      <c r="GK145" s="36"/>
      <c r="GL145" s="36"/>
      <c r="GM145" s="36"/>
      <c r="GN145" s="36"/>
      <c r="GO145" s="36"/>
      <c r="GP145" s="36"/>
      <c r="GQ145" s="36"/>
      <c r="GR145" s="36"/>
      <c r="GS145" s="36"/>
      <c r="GT145" s="36"/>
      <c r="GU145" s="36"/>
      <c r="GV145" s="36"/>
      <c r="GW145" s="36"/>
      <c r="GX145" s="36"/>
      <c r="GY145" s="36"/>
      <c r="GZ145" s="36"/>
      <c r="HA145" s="36"/>
      <c r="HB145" s="36"/>
      <c r="HC145" s="36"/>
      <c r="HD145" s="36"/>
      <c r="HE145" s="36"/>
      <c r="HF145" s="36"/>
      <c r="HG145" s="36"/>
      <c r="HH145" s="36"/>
      <c r="HI145" s="36"/>
      <c r="HJ145" s="36"/>
      <c r="HK145" s="36"/>
      <c r="HL145" s="36"/>
      <c r="HM145" s="36"/>
      <c r="HN145" s="36"/>
      <c r="HO145" s="36"/>
      <c r="HP145" s="36"/>
      <c r="HQ145" s="36"/>
      <c r="HR145" s="36"/>
      <c r="HS145" s="36"/>
      <c r="HT145" s="36"/>
      <c r="HU145" s="36"/>
      <c r="HV145" s="36"/>
      <c r="HW145" s="36"/>
      <c r="HX145" s="36"/>
      <c r="HY145" s="36"/>
      <c r="HZ145" s="36"/>
      <c r="IA145" s="36"/>
      <c r="IB145" s="36"/>
      <c r="IC145" s="36"/>
      <c r="ID145" s="36"/>
      <c r="IE145" s="36"/>
      <c r="IF145" s="36"/>
      <c r="IG145" s="36"/>
      <c r="IH145" s="36"/>
      <c r="II145" s="36"/>
      <c r="IJ145" s="36"/>
      <c r="IK145" s="36"/>
      <c r="IL145" s="36"/>
      <c r="IM145" s="36"/>
      <c r="IN145" s="36"/>
      <c r="IO145" s="36"/>
      <c r="IP145" s="36"/>
      <c r="IQ145" s="36"/>
      <c r="IR145" s="36"/>
      <c r="IS145" s="36"/>
      <c r="IT145" s="36"/>
      <c r="IU145" s="36"/>
      <c r="IV145" s="36"/>
    </row>
    <row r="146" spans="1:256" s="35" customFormat="1" ht="15">
      <c r="A146" s="36"/>
      <c r="B146" s="141"/>
      <c r="C146" s="36"/>
      <c r="D146" s="36"/>
      <c r="E146" s="36"/>
      <c r="F146" s="36"/>
      <c r="G146" s="36"/>
      <c r="H146" s="36"/>
      <c r="I146" s="36"/>
      <c r="J146" s="36"/>
      <c r="FW146" s="36"/>
      <c r="FX146" s="36"/>
      <c r="FY146" s="36"/>
      <c r="FZ146" s="36"/>
      <c r="GA146" s="36"/>
      <c r="GB146" s="36"/>
      <c r="GC146" s="36"/>
      <c r="GD146" s="36"/>
      <c r="GE146" s="36"/>
      <c r="GF146" s="36"/>
      <c r="GG146" s="36"/>
      <c r="GH146" s="36"/>
      <c r="GI146" s="36"/>
      <c r="GJ146" s="36"/>
      <c r="GK146" s="36"/>
      <c r="GL146" s="36"/>
      <c r="GM146" s="36"/>
      <c r="GN146" s="36"/>
      <c r="GO146" s="36"/>
      <c r="GP146" s="36"/>
      <c r="GQ146" s="36"/>
      <c r="GR146" s="36"/>
      <c r="GS146" s="36"/>
      <c r="GT146" s="36"/>
      <c r="GU146" s="36"/>
      <c r="GV146" s="36"/>
      <c r="GW146" s="36"/>
      <c r="GX146" s="36"/>
      <c r="GY146" s="36"/>
      <c r="GZ146" s="36"/>
      <c r="HA146" s="36"/>
      <c r="HB146" s="36"/>
      <c r="HC146" s="36"/>
      <c r="HD146" s="36"/>
      <c r="HE146" s="36"/>
      <c r="HF146" s="36"/>
      <c r="HG146" s="36"/>
      <c r="HH146" s="36"/>
      <c r="HI146" s="36"/>
      <c r="HJ146" s="36"/>
      <c r="HK146" s="36"/>
      <c r="HL146" s="36"/>
      <c r="HM146" s="36"/>
      <c r="HN146" s="36"/>
      <c r="HO146" s="36"/>
      <c r="HP146" s="36"/>
      <c r="HQ146" s="36"/>
      <c r="HR146" s="36"/>
      <c r="HS146" s="36"/>
      <c r="HT146" s="36"/>
      <c r="HU146" s="36"/>
      <c r="HV146" s="36"/>
      <c r="HW146" s="36"/>
      <c r="HX146" s="36"/>
      <c r="HY146" s="36"/>
      <c r="HZ146" s="36"/>
      <c r="IA146" s="36"/>
      <c r="IB146" s="36"/>
      <c r="IC146" s="36"/>
      <c r="ID146" s="36"/>
      <c r="IE146" s="36"/>
      <c r="IF146" s="36"/>
      <c r="IG146" s="36"/>
      <c r="IH146" s="36"/>
      <c r="II146" s="36"/>
      <c r="IJ146" s="36"/>
      <c r="IK146" s="36"/>
      <c r="IL146" s="36"/>
      <c r="IM146" s="36"/>
      <c r="IN146" s="36"/>
      <c r="IO146" s="36"/>
      <c r="IP146" s="36"/>
      <c r="IQ146" s="36"/>
      <c r="IR146" s="36"/>
      <c r="IS146" s="36"/>
      <c r="IT146" s="36"/>
      <c r="IU146" s="36"/>
      <c r="IV146" s="36"/>
    </row>
    <row r="147" spans="1:256" s="35" customFormat="1" ht="15">
      <c r="A147" s="36"/>
      <c r="B147" s="141"/>
      <c r="C147" s="36"/>
      <c r="D147" s="36"/>
      <c r="E147" s="36"/>
      <c r="F147" s="36"/>
      <c r="G147" s="36"/>
      <c r="H147" s="36"/>
      <c r="I147" s="36"/>
      <c r="J147" s="36"/>
      <c r="FW147" s="36"/>
      <c r="FX147" s="36"/>
      <c r="FY147" s="36"/>
      <c r="FZ147" s="36"/>
      <c r="GA147" s="36"/>
      <c r="GB147" s="36"/>
      <c r="GC147" s="36"/>
      <c r="GD147" s="36"/>
      <c r="GE147" s="36"/>
      <c r="GF147" s="36"/>
      <c r="GG147" s="36"/>
      <c r="GH147" s="36"/>
      <c r="GI147" s="36"/>
      <c r="GJ147" s="36"/>
      <c r="GK147" s="36"/>
      <c r="GL147" s="36"/>
      <c r="GM147" s="36"/>
      <c r="GN147" s="36"/>
      <c r="GO147" s="36"/>
      <c r="GP147" s="36"/>
      <c r="GQ147" s="36"/>
      <c r="GR147" s="36"/>
      <c r="GS147" s="36"/>
      <c r="GT147" s="36"/>
      <c r="GU147" s="36"/>
      <c r="GV147" s="36"/>
      <c r="GW147" s="36"/>
      <c r="GX147" s="36"/>
      <c r="GY147" s="36"/>
      <c r="GZ147" s="36"/>
      <c r="HA147" s="36"/>
      <c r="HB147" s="36"/>
      <c r="HC147" s="36"/>
      <c r="HD147" s="36"/>
      <c r="HE147" s="36"/>
      <c r="HF147" s="36"/>
      <c r="HG147" s="36"/>
      <c r="HH147" s="36"/>
      <c r="HI147" s="36"/>
      <c r="HJ147" s="36"/>
      <c r="HK147" s="36"/>
      <c r="HL147" s="36"/>
      <c r="HM147" s="36"/>
      <c r="HN147" s="36"/>
      <c r="HO147" s="36"/>
      <c r="HP147" s="36"/>
      <c r="HQ147" s="36"/>
      <c r="HR147" s="36"/>
      <c r="HS147" s="36"/>
      <c r="HT147" s="36"/>
      <c r="HU147" s="36"/>
      <c r="HV147" s="36"/>
      <c r="HW147" s="36"/>
      <c r="HX147" s="36"/>
      <c r="HY147" s="36"/>
      <c r="HZ147" s="36"/>
      <c r="IA147" s="36"/>
      <c r="IB147" s="36"/>
      <c r="IC147" s="36"/>
      <c r="ID147" s="36"/>
      <c r="IE147" s="36"/>
      <c r="IF147" s="36"/>
      <c r="IG147" s="36"/>
      <c r="IH147" s="36"/>
      <c r="II147" s="36"/>
      <c r="IJ147" s="36"/>
      <c r="IK147" s="36"/>
      <c r="IL147" s="36"/>
      <c r="IM147" s="36"/>
      <c r="IN147" s="36"/>
      <c r="IO147" s="36"/>
      <c r="IP147" s="36"/>
      <c r="IQ147" s="36"/>
      <c r="IR147" s="36"/>
      <c r="IS147" s="36"/>
      <c r="IT147" s="36"/>
      <c r="IU147" s="36"/>
      <c r="IV147" s="36"/>
    </row>
    <row r="148" spans="1:256" s="35" customFormat="1" ht="15">
      <c r="A148" s="36"/>
      <c r="B148" s="141"/>
      <c r="C148" s="36"/>
      <c r="D148" s="36"/>
      <c r="E148" s="36"/>
      <c r="F148" s="36"/>
      <c r="G148" s="36"/>
      <c r="H148" s="36"/>
      <c r="I148" s="36"/>
      <c r="J148" s="36"/>
      <c r="FW148" s="36"/>
      <c r="FX148" s="36"/>
      <c r="FY148" s="36"/>
      <c r="FZ148" s="36"/>
      <c r="GA148" s="36"/>
      <c r="GB148" s="36"/>
      <c r="GC148" s="36"/>
      <c r="GD148" s="36"/>
      <c r="GE148" s="36"/>
      <c r="GF148" s="36"/>
      <c r="GG148" s="36"/>
      <c r="GH148" s="36"/>
      <c r="GI148" s="36"/>
      <c r="GJ148" s="36"/>
      <c r="GK148" s="36"/>
      <c r="GL148" s="36"/>
      <c r="GM148" s="36"/>
      <c r="GN148" s="36"/>
      <c r="GO148" s="36"/>
      <c r="GP148" s="36"/>
      <c r="GQ148" s="36"/>
      <c r="GR148" s="36"/>
      <c r="GS148" s="36"/>
      <c r="GT148" s="36"/>
      <c r="GU148" s="36"/>
      <c r="GV148" s="36"/>
      <c r="GW148" s="36"/>
      <c r="GX148" s="36"/>
      <c r="GY148" s="36"/>
      <c r="GZ148" s="36"/>
      <c r="HA148" s="36"/>
      <c r="HB148" s="36"/>
      <c r="HC148" s="36"/>
      <c r="HD148" s="36"/>
      <c r="HE148" s="36"/>
      <c r="HF148" s="36"/>
      <c r="HG148" s="36"/>
      <c r="HH148" s="36"/>
      <c r="HI148" s="36"/>
      <c r="HJ148" s="36"/>
      <c r="HK148" s="36"/>
      <c r="HL148" s="36"/>
      <c r="HM148" s="36"/>
      <c r="HN148" s="36"/>
      <c r="HO148" s="36"/>
      <c r="HP148" s="36"/>
      <c r="HQ148" s="36"/>
      <c r="HR148" s="36"/>
      <c r="HS148" s="36"/>
      <c r="HT148" s="36"/>
      <c r="HU148" s="36"/>
      <c r="HV148" s="36"/>
      <c r="HW148" s="36"/>
      <c r="HX148" s="36"/>
      <c r="HY148" s="36"/>
      <c r="HZ148" s="36"/>
      <c r="IA148" s="36"/>
      <c r="IB148" s="36"/>
      <c r="IC148" s="36"/>
      <c r="ID148" s="36"/>
      <c r="IE148" s="36"/>
      <c r="IF148" s="36"/>
      <c r="IG148" s="36"/>
      <c r="IH148" s="36"/>
      <c r="II148" s="36"/>
      <c r="IJ148" s="36"/>
      <c r="IK148" s="36"/>
      <c r="IL148" s="36"/>
      <c r="IM148" s="36"/>
      <c r="IN148" s="36"/>
      <c r="IO148" s="36"/>
      <c r="IP148" s="36"/>
      <c r="IQ148" s="36"/>
      <c r="IR148" s="36"/>
      <c r="IS148" s="36"/>
      <c r="IT148" s="36"/>
      <c r="IU148" s="36"/>
      <c r="IV148" s="36"/>
    </row>
    <row r="149" spans="1:256" s="35" customFormat="1" ht="15">
      <c r="A149" s="36"/>
      <c r="B149" s="141"/>
      <c r="C149" s="36"/>
      <c r="D149" s="36"/>
      <c r="E149" s="36"/>
      <c r="F149" s="36"/>
      <c r="G149" s="36"/>
      <c r="H149" s="36"/>
      <c r="I149" s="36"/>
      <c r="J149" s="36"/>
      <c r="FW149" s="36"/>
      <c r="FX149" s="36"/>
      <c r="FY149" s="36"/>
      <c r="FZ149" s="36"/>
      <c r="GA149" s="36"/>
      <c r="GB149" s="36"/>
      <c r="GC149" s="36"/>
      <c r="GD149" s="36"/>
      <c r="GE149" s="36"/>
      <c r="GF149" s="36"/>
      <c r="GG149" s="36"/>
      <c r="GH149" s="36"/>
      <c r="GI149" s="36"/>
      <c r="GJ149" s="36"/>
      <c r="GK149" s="36"/>
      <c r="GL149" s="36"/>
      <c r="GM149" s="36"/>
      <c r="GN149" s="36"/>
      <c r="GO149" s="36"/>
      <c r="GP149" s="36"/>
      <c r="GQ149" s="36"/>
      <c r="GR149" s="36"/>
      <c r="GS149" s="36"/>
      <c r="GT149" s="36"/>
      <c r="GU149" s="36"/>
      <c r="GV149" s="36"/>
      <c r="GW149" s="36"/>
      <c r="GX149" s="36"/>
      <c r="GY149" s="36"/>
      <c r="GZ149" s="36"/>
      <c r="HA149" s="36"/>
      <c r="HB149" s="36"/>
      <c r="HC149" s="36"/>
      <c r="HD149" s="36"/>
      <c r="HE149" s="36"/>
      <c r="HF149" s="36"/>
      <c r="HG149" s="36"/>
      <c r="HH149" s="36"/>
      <c r="HI149" s="36"/>
      <c r="HJ149" s="36"/>
      <c r="HK149" s="36"/>
      <c r="HL149" s="36"/>
      <c r="HM149" s="36"/>
      <c r="HN149" s="36"/>
      <c r="HO149" s="36"/>
      <c r="HP149" s="36"/>
      <c r="HQ149" s="36"/>
      <c r="HR149" s="36"/>
      <c r="HS149" s="36"/>
      <c r="HT149" s="36"/>
      <c r="HU149" s="36"/>
      <c r="HV149" s="36"/>
      <c r="HW149" s="36"/>
      <c r="HX149" s="36"/>
      <c r="HY149" s="36"/>
      <c r="HZ149" s="36"/>
      <c r="IA149" s="36"/>
      <c r="IB149" s="36"/>
      <c r="IC149" s="36"/>
      <c r="ID149" s="36"/>
      <c r="IE149" s="36"/>
      <c r="IF149" s="36"/>
      <c r="IG149" s="36"/>
      <c r="IH149" s="36"/>
      <c r="II149" s="36"/>
      <c r="IJ149" s="36"/>
      <c r="IK149" s="36"/>
      <c r="IL149" s="36"/>
      <c r="IM149" s="36"/>
      <c r="IN149" s="36"/>
      <c r="IO149" s="36"/>
      <c r="IP149" s="36"/>
      <c r="IQ149" s="36"/>
      <c r="IR149" s="36"/>
      <c r="IS149" s="36"/>
      <c r="IT149" s="36"/>
      <c r="IU149" s="36"/>
      <c r="IV149" s="36"/>
    </row>
    <row r="150" spans="1:256" s="35" customFormat="1" ht="15">
      <c r="A150" s="36"/>
      <c r="B150" s="141"/>
      <c r="C150" s="36"/>
      <c r="D150" s="36"/>
      <c r="E150" s="36"/>
      <c r="F150" s="36"/>
      <c r="G150" s="36"/>
      <c r="H150" s="36"/>
      <c r="I150" s="36"/>
      <c r="J150" s="36"/>
      <c r="FW150" s="36"/>
      <c r="FX150" s="36"/>
      <c r="FY150" s="36"/>
      <c r="FZ150" s="36"/>
      <c r="GA150" s="36"/>
      <c r="GB150" s="36"/>
      <c r="GC150" s="36"/>
      <c r="GD150" s="36"/>
      <c r="GE150" s="36"/>
      <c r="GF150" s="36"/>
      <c r="GG150" s="36"/>
      <c r="GH150" s="36"/>
      <c r="GI150" s="36"/>
      <c r="GJ150" s="36"/>
      <c r="GK150" s="36"/>
      <c r="GL150" s="36"/>
      <c r="GM150" s="36"/>
      <c r="GN150" s="36"/>
      <c r="GO150" s="36"/>
      <c r="GP150" s="36"/>
      <c r="GQ150" s="36"/>
      <c r="GR150" s="36"/>
      <c r="GS150" s="36"/>
      <c r="GT150" s="36"/>
      <c r="GU150" s="36"/>
      <c r="GV150" s="36"/>
      <c r="GW150" s="36"/>
      <c r="GX150" s="36"/>
      <c r="GY150" s="36"/>
      <c r="GZ150" s="36"/>
      <c r="HA150" s="36"/>
      <c r="HB150" s="36"/>
      <c r="HC150" s="36"/>
      <c r="HD150" s="36"/>
      <c r="HE150" s="36"/>
      <c r="HF150" s="36"/>
      <c r="HG150" s="36"/>
      <c r="HH150" s="36"/>
      <c r="HI150" s="36"/>
      <c r="HJ150" s="36"/>
      <c r="HK150" s="36"/>
      <c r="HL150" s="36"/>
      <c r="HM150" s="36"/>
      <c r="HN150" s="36"/>
      <c r="HO150" s="36"/>
      <c r="HP150" s="36"/>
      <c r="HQ150" s="36"/>
      <c r="HR150" s="36"/>
      <c r="HS150" s="36"/>
      <c r="HT150" s="36"/>
      <c r="HU150" s="36"/>
      <c r="HV150" s="36"/>
      <c r="HW150" s="36"/>
      <c r="HX150" s="36"/>
      <c r="HY150" s="36"/>
      <c r="HZ150" s="36"/>
      <c r="IA150" s="36"/>
      <c r="IB150" s="36"/>
      <c r="IC150" s="36"/>
      <c r="ID150" s="36"/>
      <c r="IE150" s="36"/>
      <c r="IF150" s="36"/>
      <c r="IG150" s="36"/>
      <c r="IH150" s="36"/>
      <c r="II150" s="36"/>
      <c r="IJ150" s="36"/>
      <c r="IK150" s="36"/>
      <c r="IL150" s="36"/>
      <c r="IM150" s="36"/>
      <c r="IN150" s="36"/>
      <c r="IO150" s="36"/>
      <c r="IP150" s="36"/>
      <c r="IQ150" s="36"/>
      <c r="IR150" s="36"/>
      <c r="IS150" s="36"/>
      <c r="IT150" s="36"/>
      <c r="IU150" s="36"/>
      <c r="IV150" s="36"/>
    </row>
    <row r="151" spans="1:256" s="35" customFormat="1" ht="15">
      <c r="A151" s="36"/>
      <c r="B151" s="141"/>
      <c r="C151" s="36"/>
      <c r="D151" s="36"/>
      <c r="E151" s="36"/>
      <c r="F151" s="36"/>
      <c r="G151" s="36"/>
      <c r="H151" s="36"/>
      <c r="I151" s="36"/>
      <c r="J151" s="36"/>
      <c r="FW151" s="36"/>
      <c r="FX151" s="36"/>
      <c r="FY151" s="36"/>
      <c r="FZ151" s="36"/>
      <c r="GA151" s="36"/>
      <c r="GB151" s="36"/>
      <c r="GC151" s="36"/>
      <c r="GD151" s="36"/>
      <c r="GE151" s="36"/>
      <c r="GF151" s="36"/>
      <c r="GG151" s="36"/>
      <c r="GH151" s="36"/>
      <c r="GI151" s="36"/>
      <c r="GJ151" s="36"/>
      <c r="GK151" s="36"/>
      <c r="GL151" s="36"/>
      <c r="GM151" s="36"/>
      <c r="GN151" s="36"/>
      <c r="GO151" s="36"/>
      <c r="GP151" s="36"/>
      <c r="GQ151" s="36"/>
      <c r="GR151" s="36"/>
      <c r="GS151" s="36"/>
      <c r="GT151" s="36"/>
      <c r="GU151" s="36"/>
      <c r="GV151" s="36"/>
      <c r="GW151" s="36"/>
      <c r="GX151" s="36"/>
      <c r="GY151" s="36"/>
      <c r="GZ151" s="36"/>
      <c r="HA151" s="36"/>
      <c r="HB151" s="36"/>
      <c r="HC151" s="36"/>
      <c r="HD151" s="36"/>
      <c r="HE151" s="36"/>
      <c r="HF151" s="36"/>
      <c r="HG151" s="36"/>
      <c r="HH151" s="36"/>
      <c r="HI151" s="36"/>
      <c r="HJ151" s="36"/>
      <c r="HK151" s="36"/>
      <c r="HL151" s="36"/>
      <c r="HM151" s="36"/>
      <c r="HN151" s="36"/>
      <c r="HO151" s="36"/>
      <c r="HP151" s="36"/>
      <c r="HQ151" s="36"/>
      <c r="HR151" s="36"/>
      <c r="HS151" s="36"/>
      <c r="HT151" s="36"/>
      <c r="HU151" s="36"/>
      <c r="HV151" s="36"/>
      <c r="HW151" s="36"/>
      <c r="HX151" s="36"/>
      <c r="HY151" s="36"/>
      <c r="HZ151" s="36"/>
      <c r="IA151" s="36"/>
      <c r="IB151" s="36"/>
      <c r="IC151" s="36"/>
      <c r="ID151" s="36"/>
      <c r="IE151" s="36"/>
      <c r="IF151" s="36"/>
      <c r="IG151" s="36"/>
      <c r="IH151" s="36"/>
      <c r="II151" s="36"/>
      <c r="IJ151" s="36"/>
      <c r="IK151" s="36"/>
      <c r="IL151" s="36"/>
      <c r="IM151" s="36"/>
      <c r="IN151" s="36"/>
      <c r="IO151" s="36"/>
      <c r="IP151" s="36"/>
      <c r="IQ151" s="36"/>
      <c r="IR151" s="36"/>
      <c r="IS151" s="36"/>
      <c r="IT151" s="36"/>
      <c r="IU151" s="36"/>
      <c r="IV151" s="36"/>
    </row>
    <row r="152" spans="1:256" s="35" customFormat="1" ht="15">
      <c r="A152" s="36"/>
      <c r="B152" s="141"/>
      <c r="C152" s="36"/>
      <c r="D152" s="36"/>
      <c r="E152" s="36"/>
      <c r="F152" s="36"/>
      <c r="G152" s="36"/>
      <c r="H152" s="36"/>
      <c r="I152" s="36"/>
      <c r="J152" s="36"/>
      <c r="FW152" s="36"/>
      <c r="FX152" s="36"/>
      <c r="FY152" s="36"/>
      <c r="FZ152" s="36"/>
      <c r="GA152" s="36"/>
      <c r="GB152" s="36"/>
      <c r="GC152" s="36"/>
      <c r="GD152" s="36"/>
      <c r="GE152" s="36"/>
      <c r="GF152" s="36"/>
      <c r="GG152" s="36"/>
      <c r="GH152" s="36"/>
      <c r="GI152" s="36"/>
      <c r="GJ152" s="36"/>
      <c r="GK152" s="36"/>
      <c r="GL152" s="36"/>
      <c r="GM152" s="36"/>
      <c r="GN152" s="36"/>
      <c r="GO152" s="36"/>
      <c r="GP152" s="36"/>
      <c r="GQ152" s="36"/>
      <c r="GR152" s="36"/>
      <c r="GS152" s="36"/>
      <c r="GT152" s="36"/>
      <c r="GU152" s="36"/>
      <c r="GV152" s="36"/>
      <c r="GW152" s="36"/>
      <c r="GX152" s="36"/>
      <c r="GY152" s="36"/>
      <c r="GZ152" s="36"/>
      <c r="HA152" s="36"/>
      <c r="HB152" s="36"/>
      <c r="HC152" s="36"/>
      <c r="HD152" s="36"/>
      <c r="HE152" s="36"/>
      <c r="HF152" s="36"/>
      <c r="HG152" s="36"/>
      <c r="HH152" s="36"/>
      <c r="HI152" s="36"/>
      <c r="HJ152" s="36"/>
      <c r="HK152" s="36"/>
      <c r="HL152" s="36"/>
      <c r="HM152" s="36"/>
      <c r="HN152" s="36"/>
      <c r="HO152" s="36"/>
      <c r="HP152" s="36"/>
      <c r="HQ152" s="36"/>
      <c r="HR152" s="36"/>
      <c r="HS152" s="36"/>
      <c r="HT152" s="36"/>
      <c r="HU152" s="36"/>
      <c r="HV152" s="36"/>
      <c r="HW152" s="36"/>
      <c r="HX152" s="36"/>
      <c r="HY152" s="36"/>
      <c r="HZ152" s="36"/>
      <c r="IA152" s="36"/>
      <c r="IB152" s="36"/>
      <c r="IC152" s="36"/>
      <c r="ID152" s="36"/>
      <c r="IE152" s="36"/>
      <c r="IF152" s="36"/>
      <c r="IG152" s="36"/>
      <c r="IH152" s="36"/>
      <c r="II152" s="36"/>
      <c r="IJ152" s="36"/>
      <c r="IK152" s="36"/>
      <c r="IL152" s="36"/>
      <c r="IM152" s="36"/>
      <c r="IN152" s="36"/>
      <c r="IO152" s="36"/>
      <c r="IP152" s="36"/>
      <c r="IQ152" s="36"/>
      <c r="IR152" s="36"/>
      <c r="IS152" s="36"/>
      <c r="IT152" s="36"/>
      <c r="IU152" s="36"/>
      <c r="IV152" s="36"/>
    </row>
    <row r="153" spans="1:256" s="35" customFormat="1" ht="15">
      <c r="A153" s="36"/>
      <c r="B153" s="141"/>
      <c r="C153" s="36"/>
      <c r="D153" s="36"/>
      <c r="E153" s="36"/>
      <c r="F153" s="36"/>
      <c r="G153" s="36"/>
      <c r="H153" s="36"/>
      <c r="I153" s="36"/>
      <c r="J153" s="36"/>
      <c r="FW153" s="36"/>
      <c r="FX153" s="36"/>
      <c r="FY153" s="36"/>
      <c r="FZ153" s="36"/>
      <c r="GA153" s="36"/>
      <c r="GB153" s="36"/>
      <c r="GC153" s="36"/>
      <c r="GD153" s="36"/>
      <c r="GE153" s="36"/>
      <c r="GF153" s="36"/>
      <c r="GG153" s="36"/>
      <c r="GH153" s="36"/>
      <c r="GI153" s="36"/>
      <c r="GJ153" s="36"/>
      <c r="GK153" s="36"/>
      <c r="GL153" s="36"/>
      <c r="GM153" s="36"/>
      <c r="GN153" s="36"/>
      <c r="GO153" s="36"/>
      <c r="GP153" s="36"/>
      <c r="GQ153" s="36"/>
      <c r="GR153" s="36"/>
      <c r="GS153" s="36"/>
      <c r="GT153" s="36"/>
      <c r="GU153" s="36"/>
      <c r="GV153" s="36"/>
      <c r="GW153" s="36"/>
      <c r="GX153" s="36"/>
      <c r="GY153" s="36"/>
      <c r="GZ153" s="36"/>
      <c r="HA153" s="36"/>
      <c r="HB153" s="36"/>
      <c r="HC153" s="36"/>
      <c r="HD153" s="36"/>
      <c r="HE153" s="36"/>
      <c r="HF153" s="36"/>
      <c r="HG153" s="36"/>
      <c r="HH153" s="36"/>
      <c r="HI153" s="36"/>
      <c r="HJ153" s="36"/>
      <c r="HK153" s="36"/>
      <c r="HL153" s="36"/>
      <c r="HM153" s="36"/>
      <c r="HN153" s="36"/>
      <c r="HO153" s="36"/>
      <c r="HP153" s="36"/>
      <c r="HQ153" s="36"/>
      <c r="HR153" s="36"/>
      <c r="HS153" s="36"/>
      <c r="HT153" s="36"/>
      <c r="HU153" s="36"/>
      <c r="HV153" s="36"/>
      <c r="HW153" s="36"/>
      <c r="HX153" s="36"/>
      <c r="HY153" s="36"/>
      <c r="HZ153" s="36"/>
      <c r="IA153" s="36"/>
      <c r="IB153" s="36"/>
      <c r="IC153" s="36"/>
      <c r="ID153" s="36"/>
      <c r="IE153" s="36"/>
      <c r="IF153" s="36"/>
      <c r="IG153" s="36"/>
      <c r="IH153" s="36"/>
      <c r="II153" s="36"/>
      <c r="IJ153" s="36"/>
      <c r="IK153" s="36"/>
      <c r="IL153" s="36"/>
      <c r="IM153" s="36"/>
      <c r="IN153" s="36"/>
      <c r="IO153" s="36"/>
      <c r="IP153" s="36"/>
      <c r="IQ153" s="36"/>
      <c r="IR153" s="36"/>
      <c r="IS153" s="36"/>
      <c r="IT153" s="36"/>
      <c r="IU153" s="36"/>
      <c r="IV153" s="36"/>
    </row>
    <row r="154" spans="1:256" s="35" customFormat="1" ht="15">
      <c r="A154" s="36"/>
      <c r="B154" s="141"/>
      <c r="C154" s="36"/>
      <c r="D154" s="36"/>
      <c r="E154" s="36"/>
      <c r="F154" s="36"/>
      <c r="G154" s="36"/>
      <c r="H154" s="36"/>
      <c r="I154" s="36"/>
      <c r="J154" s="36"/>
      <c r="FW154" s="36"/>
      <c r="FX154" s="36"/>
      <c r="FY154" s="36"/>
      <c r="FZ154" s="36"/>
      <c r="GA154" s="36"/>
      <c r="GB154" s="36"/>
      <c r="GC154" s="36"/>
      <c r="GD154" s="36"/>
      <c r="GE154" s="36"/>
      <c r="GF154" s="36"/>
      <c r="GG154" s="36"/>
      <c r="GH154" s="36"/>
      <c r="GI154" s="36"/>
      <c r="GJ154" s="36"/>
      <c r="GK154" s="36"/>
      <c r="GL154" s="36"/>
      <c r="GM154" s="36"/>
      <c r="GN154" s="36"/>
      <c r="GO154" s="36"/>
      <c r="GP154" s="36"/>
      <c r="GQ154" s="36"/>
      <c r="GR154" s="36"/>
      <c r="GS154" s="36"/>
      <c r="GT154" s="36"/>
      <c r="GU154" s="36"/>
      <c r="GV154" s="36"/>
      <c r="GW154" s="36"/>
      <c r="GX154" s="36"/>
      <c r="GY154" s="36"/>
      <c r="GZ154" s="36"/>
      <c r="HA154" s="36"/>
      <c r="HB154" s="36"/>
      <c r="HC154" s="36"/>
      <c r="HD154" s="36"/>
      <c r="HE154" s="36"/>
      <c r="HF154" s="36"/>
      <c r="HG154" s="36"/>
      <c r="HH154" s="36"/>
      <c r="HI154" s="36"/>
      <c r="HJ154" s="36"/>
      <c r="HK154" s="36"/>
      <c r="HL154" s="36"/>
      <c r="HM154" s="36"/>
      <c r="HN154" s="36"/>
      <c r="HO154" s="36"/>
      <c r="HP154" s="36"/>
      <c r="HQ154" s="36"/>
      <c r="HR154" s="36"/>
      <c r="HS154" s="36"/>
      <c r="HT154" s="36"/>
      <c r="HU154" s="36"/>
      <c r="HV154" s="36"/>
      <c r="HW154" s="36"/>
      <c r="HX154" s="36"/>
      <c r="HY154" s="36"/>
      <c r="HZ154" s="36"/>
      <c r="IA154" s="36"/>
      <c r="IB154" s="36"/>
      <c r="IC154" s="36"/>
      <c r="ID154" s="36"/>
      <c r="IE154" s="36"/>
      <c r="IF154" s="36"/>
      <c r="IG154" s="36"/>
      <c r="IH154" s="36"/>
      <c r="II154" s="36"/>
      <c r="IJ154" s="36"/>
      <c r="IK154" s="36"/>
      <c r="IL154" s="36"/>
      <c r="IM154" s="36"/>
      <c r="IN154" s="36"/>
      <c r="IO154" s="36"/>
      <c r="IP154" s="36"/>
      <c r="IQ154" s="36"/>
      <c r="IR154" s="36"/>
      <c r="IS154" s="36"/>
      <c r="IT154" s="36"/>
      <c r="IU154" s="36"/>
      <c r="IV154" s="36"/>
    </row>
    <row r="155" spans="1:256" s="35" customFormat="1" ht="15">
      <c r="A155" s="36"/>
      <c r="B155" s="141"/>
      <c r="C155" s="36"/>
      <c r="D155" s="36"/>
      <c r="E155" s="36"/>
      <c r="F155" s="36"/>
      <c r="G155" s="36"/>
      <c r="H155" s="36"/>
      <c r="I155" s="36"/>
      <c r="J155" s="36"/>
      <c r="FW155" s="36"/>
      <c r="FX155" s="36"/>
      <c r="FY155" s="36"/>
      <c r="FZ155" s="36"/>
      <c r="GA155" s="36"/>
      <c r="GB155" s="36"/>
      <c r="GC155" s="36"/>
      <c r="GD155" s="36"/>
      <c r="GE155" s="36"/>
      <c r="GF155" s="36"/>
      <c r="GG155" s="36"/>
      <c r="GH155" s="36"/>
      <c r="GI155" s="36"/>
      <c r="GJ155" s="36"/>
      <c r="GK155" s="36"/>
      <c r="GL155" s="36"/>
      <c r="GM155" s="36"/>
      <c r="GN155" s="36"/>
      <c r="GO155" s="36"/>
      <c r="GP155" s="36"/>
      <c r="GQ155" s="36"/>
      <c r="GR155" s="36"/>
      <c r="GS155" s="36"/>
      <c r="GT155" s="36"/>
      <c r="GU155" s="36"/>
      <c r="GV155" s="36"/>
      <c r="GW155" s="36"/>
      <c r="GX155" s="36"/>
      <c r="GY155" s="36"/>
      <c r="GZ155" s="36"/>
      <c r="HA155" s="36"/>
      <c r="HB155" s="36"/>
      <c r="HC155" s="36"/>
      <c r="HD155" s="36"/>
      <c r="HE155" s="36"/>
      <c r="HF155" s="36"/>
      <c r="HG155" s="36"/>
      <c r="HH155" s="36"/>
      <c r="HI155" s="36"/>
      <c r="HJ155" s="36"/>
      <c r="HK155" s="36"/>
      <c r="HL155" s="36"/>
      <c r="HM155" s="36"/>
      <c r="HN155" s="36"/>
      <c r="HO155" s="36"/>
      <c r="HP155" s="36"/>
      <c r="HQ155" s="36"/>
      <c r="HR155" s="36"/>
      <c r="HS155" s="36"/>
      <c r="HT155" s="36"/>
      <c r="HU155" s="36"/>
      <c r="HV155" s="36"/>
      <c r="HW155" s="36"/>
      <c r="HX155" s="36"/>
      <c r="HY155" s="36"/>
      <c r="HZ155" s="36"/>
      <c r="IA155" s="36"/>
      <c r="IB155" s="36"/>
      <c r="IC155" s="36"/>
      <c r="ID155" s="36"/>
      <c r="IE155" s="36"/>
      <c r="IF155" s="36"/>
      <c r="IG155" s="36"/>
      <c r="IH155" s="36"/>
      <c r="II155" s="36"/>
      <c r="IJ155" s="36"/>
      <c r="IK155" s="36"/>
      <c r="IL155" s="36"/>
      <c r="IM155" s="36"/>
      <c r="IN155" s="36"/>
      <c r="IO155" s="36"/>
      <c r="IP155" s="36"/>
      <c r="IQ155" s="36"/>
      <c r="IR155" s="36"/>
      <c r="IS155" s="36"/>
      <c r="IT155" s="36"/>
      <c r="IU155" s="36"/>
      <c r="IV155" s="36"/>
    </row>
    <row r="156" spans="1:256" s="35" customFormat="1" ht="15">
      <c r="A156" s="36"/>
      <c r="B156" s="141"/>
      <c r="C156" s="36"/>
      <c r="D156" s="36"/>
      <c r="E156" s="36"/>
      <c r="F156" s="36"/>
      <c r="G156" s="36"/>
      <c r="H156" s="36"/>
      <c r="I156" s="36"/>
      <c r="J156" s="36"/>
      <c r="FW156" s="36"/>
      <c r="FX156" s="36"/>
      <c r="FY156" s="36"/>
      <c r="FZ156" s="36"/>
      <c r="GA156" s="36"/>
      <c r="GB156" s="36"/>
      <c r="GC156" s="36"/>
      <c r="GD156" s="36"/>
      <c r="GE156" s="36"/>
      <c r="GF156" s="36"/>
      <c r="GG156" s="36"/>
      <c r="GH156" s="36"/>
      <c r="GI156" s="36"/>
      <c r="GJ156" s="36"/>
      <c r="GK156" s="36"/>
      <c r="GL156" s="36"/>
      <c r="GM156" s="36"/>
      <c r="GN156" s="36"/>
      <c r="GO156" s="36"/>
      <c r="GP156" s="36"/>
      <c r="GQ156" s="36"/>
      <c r="GR156" s="36"/>
      <c r="GS156" s="36"/>
      <c r="GT156" s="36"/>
      <c r="GU156" s="36"/>
      <c r="GV156" s="36"/>
      <c r="GW156" s="36"/>
      <c r="GX156" s="36"/>
      <c r="GY156" s="36"/>
      <c r="GZ156" s="36"/>
      <c r="HA156" s="36"/>
      <c r="HB156" s="36"/>
      <c r="HC156" s="36"/>
      <c r="HD156" s="36"/>
      <c r="HE156" s="36"/>
      <c r="HF156" s="36"/>
      <c r="HG156" s="36"/>
      <c r="HH156" s="36"/>
      <c r="HI156" s="36"/>
      <c r="HJ156" s="36"/>
      <c r="HK156" s="36"/>
      <c r="HL156" s="36"/>
      <c r="HM156" s="36"/>
      <c r="HN156" s="36"/>
      <c r="HO156" s="36"/>
      <c r="HP156" s="36"/>
      <c r="HQ156" s="36"/>
      <c r="HR156" s="36"/>
      <c r="HS156" s="36"/>
      <c r="HT156" s="36"/>
      <c r="HU156" s="36"/>
      <c r="HV156" s="36"/>
      <c r="HW156" s="36"/>
      <c r="HX156" s="36"/>
      <c r="HY156" s="36"/>
      <c r="HZ156" s="36"/>
      <c r="IA156" s="36"/>
      <c r="IB156" s="36"/>
      <c r="IC156" s="36"/>
      <c r="ID156" s="36"/>
      <c r="IE156" s="36"/>
      <c r="IF156" s="36"/>
      <c r="IG156" s="36"/>
      <c r="IH156" s="36"/>
      <c r="II156" s="36"/>
      <c r="IJ156" s="36"/>
      <c r="IK156" s="36"/>
      <c r="IL156" s="36"/>
      <c r="IM156" s="36"/>
      <c r="IN156" s="36"/>
      <c r="IO156" s="36"/>
      <c r="IP156" s="36"/>
      <c r="IQ156" s="36"/>
      <c r="IR156" s="36"/>
      <c r="IS156" s="36"/>
      <c r="IT156" s="36"/>
      <c r="IU156" s="36"/>
      <c r="IV156" s="36"/>
    </row>
    <row r="157" spans="1:256" s="35" customFormat="1" ht="15">
      <c r="A157" s="36"/>
      <c r="B157" s="141"/>
      <c r="C157" s="36"/>
      <c r="D157" s="36"/>
      <c r="E157" s="36"/>
      <c r="F157" s="36"/>
      <c r="G157" s="36"/>
      <c r="H157" s="36"/>
      <c r="I157" s="36"/>
      <c r="J157" s="36"/>
      <c r="FW157" s="36"/>
      <c r="FX157" s="36"/>
      <c r="FY157" s="36"/>
      <c r="FZ157" s="36"/>
      <c r="GA157" s="36"/>
      <c r="GB157" s="36"/>
      <c r="GC157" s="36"/>
      <c r="GD157" s="36"/>
      <c r="GE157" s="36"/>
      <c r="GF157" s="36"/>
      <c r="GG157" s="36"/>
      <c r="GH157" s="36"/>
      <c r="GI157" s="36"/>
      <c r="GJ157" s="36"/>
      <c r="GK157" s="36"/>
      <c r="GL157" s="36"/>
      <c r="GM157" s="36"/>
      <c r="GN157" s="36"/>
      <c r="GO157" s="36"/>
      <c r="GP157" s="36"/>
      <c r="GQ157" s="36"/>
      <c r="GR157" s="36"/>
      <c r="GS157" s="36"/>
      <c r="GT157" s="36"/>
      <c r="GU157" s="36"/>
      <c r="GV157" s="36"/>
      <c r="GW157" s="36"/>
      <c r="GX157" s="36"/>
      <c r="GY157" s="36"/>
      <c r="GZ157" s="36"/>
      <c r="HA157" s="36"/>
      <c r="HB157" s="36"/>
      <c r="HC157" s="36"/>
      <c r="HD157" s="36"/>
      <c r="HE157" s="36"/>
      <c r="HF157" s="36"/>
      <c r="HG157" s="36"/>
      <c r="HH157" s="36"/>
      <c r="HI157" s="36"/>
      <c r="HJ157" s="36"/>
      <c r="HK157" s="36"/>
      <c r="HL157" s="36"/>
      <c r="HM157" s="36"/>
      <c r="HN157" s="36"/>
      <c r="HO157" s="36"/>
      <c r="HP157" s="36"/>
      <c r="HQ157" s="36"/>
      <c r="HR157" s="36"/>
      <c r="HS157" s="36"/>
      <c r="HT157" s="36"/>
      <c r="HU157" s="36"/>
      <c r="HV157" s="36"/>
      <c r="HW157" s="36"/>
      <c r="HX157" s="36"/>
      <c r="HY157" s="36"/>
      <c r="HZ157" s="36"/>
      <c r="IA157" s="36"/>
      <c r="IB157" s="36"/>
      <c r="IC157" s="36"/>
      <c r="ID157" s="36"/>
      <c r="IE157" s="36"/>
      <c r="IF157" s="36"/>
      <c r="IG157" s="36"/>
      <c r="IH157" s="36"/>
      <c r="II157" s="36"/>
      <c r="IJ157" s="36"/>
      <c r="IK157" s="36"/>
      <c r="IL157" s="36"/>
      <c r="IM157" s="36"/>
      <c r="IN157" s="36"/>
      <c r="IO157" s="36"/>
      <c r="IP157" s="36"/>
      <c r="IQ157" s="36"/>
      <c r="IR157" s="36"/>
      <c r="IS157" s="36"/>
      <c r="IT157" s="36"/>
      <c r="IU157" s="36"/>
      <c r="IV157" s="36"/>
    </row>
    <row r="158" spans="1:256" s="35" customFormat="1" ht="15">
      <c r="A158" s="36"/>
      <c r="B158" s="141"/>
      <c r="C158" s="36"/>
      <c r="D158" s="36"/>
      <c r="E158" s="36"/>
      <c r="F158" s="36"/>
      <c r="G158" s="36"/>
      <c r="H158" s="36"/>
      <c r="I158" s="36"/>
      <c r="J158" s="36"/>
      <c r="FW158" s="36"/>
      <c r="FX158" s="36"/>
      <c r="FY158" s="36"/>
      <c r="FZ158" s="36"/>
      <c r="GA158" s="36"/>
      <c r="GB158" s="36"/>
      <c r="GC158" s="36"/>
      <c r="GD158" s="36"/>
      <c r="GE158" s="36"/>
      <c r="GF158" s="36"/>
      <c r="GG158" s="36"/>
      <c r="GH158" s="36"/>
      <c r="GI158" s="36"/>
      <c r="GJ158" s="36"/>
      <c r="GK158" s="36"/>
      <c r="GL158" s="36"/>
      <c r="GM158" s="36"/>
      <c r="GN158" s="36"/>
      <c r="GO158" s="36"/>
      <c r="GP158" s="36"/>
      <c r="GQ158" s="36"/>
      <c r="GR158" s="36"/>
      <c r="GS158" s="36"/>
      <c r="GT158" s="36"/>
      <c r="GU158" s="36"/>
      <c r="GV158" s="36"/>
      <c r="GW158" s="36"/>
      <c r="GX158" s="36"/>
      <c r="GY158" s="36"/>
      <c r="GZ158" s="36"/>
      <c r="HA158" s="36"/>
      <c r="HB158" s="36"/>
      <c r="HC158" s="36"/>
      <c r="HD158" s="36"/>
      <c r="HE158" s="36"/>
      <c r="HF158" s="36"/>
      <c r="HG158" s="36"/>
      <c r="HH158" s="36"/>
      <c r="HI158" s="36"/>
      <c r="HJ158" s="36"/>
      <c r="HK158" s="36"/>
      <c r="HL158" s="36"/>
      <c r="HM158" s="36"/>
      <c r="HN158" s="36"/>
      <c r="HO158" s="36"/>
      <c r="HP158" s="36"/>
      <c r="HQ158" s="36"/>
      <c r="HR158" s="36"/>
      <c r="HS158" s="36"/>
      <c r="HT158" s="36"/>
      <c r="HU158" s="36"/>
      <c r="HV158" s="36"/>
      <c r="HW158" s="36"/>
      <c r="HX158" s="36"/>
      <c r="HY158" s="36"/>
      <c r="HZ158" s="36"/>
      <c r="IA158" s="36"/>
      <c r="IB158" s="36"/>
      <c r="IC158" s="36"/>
      <c r="ID158" s="36"/>
      <c r="IE158" s="36"/>
      <c r="IF158" s="36"/>
      <c r="IG158" s="36"/>
      <c r="IH158" s="36"/>
      <c r="II158" s="36"/>
      <c r="IJ158" s="36"/>
      <c r="IK158" s="36"/>
      <c r="IL158" s="36"/>
      <c r="IM158" s="36"/>
      <c r="IN158" s="36"/>
      <c r="IO158" s="36"/>
      <c r="IP158" s="36"/>
      <c r="IQ158" s="36"/>
      <c r="IR158" s="36"/>
      <c r="IS158" s="36"/>
      <c r="IT158" s="36"/>
      <c r="IU158" s="36"/>
      <c r="IV158" s="36"/>
    </row>
    <row r="159" spans="1:256" s="35" customFormat="1" ht="15">
      <c r="A159" s="36"/>
      <c r="B159" s="141"/>
      <c r="C159" s="36"/>
      <c r="D159" s="36"/>
      <c r="E159" s="36"/>
      <c r="F159" s="36"/>
      <c r="G159" s="36"/>
      <c r="H159" s="36"/>
      <c r="I159" s="36"/>
      <c r="J159" s="36"/>
      <c r="FW159" s="36"/>
      <c r="FX159" s="36"/>
      <c r="FY159" s="36"/>
      <c r="FZ159" s="36"/>
      <c r="GA159" s="36"/>
      <c r="GB159" s="36"/>
      <c r="GC159" s="36"/>
      <c r="GD159" s="36"/>
      <c r="GE159" s="36"/>
      <c r="GF159" s="36"/>
      <c r="GG159" s="36"/>
      <c r="GH159" s="36"/>
      <c r="GI159" s="36"/>
      <c r="GJ159" s="36"/>
      <c r="GK159" s="36"/>
      <c r="GL159" s="36"/>
      <c r="GM159" s="36"/>
      <c r="GN159" s="36"/>
      <c r="GO159" s="36"/>
      <c r="GP159" s="36"/>
      <c r="GQ159" s="36"/>
      <c r="GR159" s="36"/>
      <c r="GS159" s="36"/>
      <c r="GT159" s="36"/>
      <c r="GU159" s="36"/>
      <c r="GV159" s="36"/>
      <c r="GW159" s="36"/>
      <c r="GX159" s="36"/>
      <c r="GY159" s="36"/>
      <c r="GZ159" s="36"/>
      <c r="HA159" s="36"/>
      <c r="HB159" s="36"/>
      <c r="HC159" s="36"/>
      <c r="HD159" s="36"/>
      <c r="HE159" s="36"/>
      <c r="HF159" s="36"/>
      <c r="HG159" s="36"/>
      <c r="HH159" s="36"/>
      <c r="HI159" s="36"/>
      <c r="HJ159" s="36"/>
      <c r="HK159" s="36"/>
      <c r="HL159" s="36"/>
      <c r="HM159" s="36"/>
      <c r="HN159" s="36"/>
      <c r="HO159" s="36"/>
      <c r="HP159" s="36"/>
      <c r="HQ159" s="36"/>
      <c r="HR159" s="36"/>
      <c r="HS159" s="36"/>
      <c r="HT159" s="36"/>
      <c r="HU159" s="36"/>
      <c r="HV159" s="36"/>
      <c r="HW159" s="36"/>
      <c r="HX159" s="36"/>
      <c r="HY159" s="36"/>
      <c r="HZ159" s="36"/>
      <c r="IA159" s="36"/>
      <c r="IB159" s="36"/>
      <c r="IC159" s="36"/>
      <c r="ID159" s="36"/>
      <c r="IE159" s="36"/>
      <c r="IF159" s="36"/>
      <c r="IG159" s="36"/>
      <c r="IH159" s="36"/>
      <c r="II159" s="36"/>
      <c r="IJ159" s="36"/>
      <c r="IK159" s="36"/>
      <c r="IL159" s="36"/>
      <c r="IM159" s="36"/>
      <c r="IN159" s="36"/>
      <c r="IO159" s="36"/>
      <c r="IP159" s="36"/>
      <c r="IQ159" s="36"/>
      <c r="IR159" s="36"/>
      <c r="IS159" s="36"/>
      <c r="IT159" s="36"/>
      <c r="IU159" s="36"/>
      <c r="IV159" s="36"/>
    </row>
    <row r="160" spans="1:256" s="35" customFormat="1" ht="15">
      <c r="A160" s="36"/>
      <c r="B160" s="141"/>
      <c r="C160" s="36"/>
      <c r="D160" s="36"/>
      <c r="E160" s="36"/>
      <c r="F160" s="36"/>
      <c r="G160" s="36"/>
      <c r="H160" s="36"/>
      <c r="I160" s="36"/>
      <c r="J160" s="36"/>
      <c r="FW160" s="36"/>
      <c r="FX160" s="36"/>
      <c r="FY160" s="36"/>
      <c r="FZ160" s="36"/>
      <c r="GA160" s="36"/>
      <c r="GB160" s="36"/>
      <c r="GC160" s="36"/>
      <c r="GD160" s="36"/>
      <c r="GE160" s="36"/>
      <c r="GF160" s="36"/>
      <c r="GG160" s="36"/>
      <c r="GH160" s="36"/>
      <c r="GI160" s="36"/>
      <c r="GJ160" s="36"/>
      <c r="GK160" s="36"/>
      <c r="GL160" s="36"/>
      <c r="GM160" s="36"/>
      <c r="GN160" s="36"/>
      <c r="GO160" s="36"/>
      <c r="GP160" s="36"/>
      <c r="GQ160" s="36"/>
      <c r="GR160" s="36"/>
      <c r="GS160" s="36"/>
      <c r="GT160" s="36"/>
      <c r="GU160" s="36"/>
      <c r="GV160" s="36"/>
      <c r="GW160" s="36"/>
      <c r="GX160" s="36"/>
      <c r="GY160" s="36"/>
      <c r="GZ160" s="36"/>
      <c r="HA160" s="36"/>
      <c r="HB160" s="36"/>
      <c r="HC160" s="36"/>
      <c r="HD160" s="36"/>
      <c r="HE160" s="36"/>
      <c r="HF160" s="36"/>
      <c r="HG160" s="36"/>
      <c r="HH160" s="36"/>
      <c r="HI160" s="36"/>
      <c r="HJ160" s="36"/>
      <c r="HK160" s="36"/>
      <c r="HL160" s="36"/>
      <c r="HM160" s="36"/>
      <c r="HN160" s="36"/>
      <c r="HO160" s="36"/>
      <c r="HP160" s="36"/>
      <c r="HQ160" s="36"/>
      <c r="HR160" s="36"/>
      <c r="HS160" s="36"/>
      <c r="HT160" s="36"/>
      <c r="HU160" s="36"/>
      <c r="HV160" s="36"/>
      <c r="HW160" s="36"/>
      <c r="HX160" s="36"/>
      <c r="HY160" s="36"/>
      <c r="HZ160" s="36"/>
      <c r="IA160" s="36"/>
      <c r="IB160" s="36"/>
      <c r="IC160" s="36"/>
      <c r="ID160" s="36"/>
      <c r="IE160" s="36"/>
      <c r="IF160" s="36"/>
      <c r="IG160" s="36"/>
      <c r="IH160" s="36"/>
      <c r="II160" s="36"/>
      <c r="IJ160" s="36"/>
      <c r="IK160" s="36"/>
      <c r="IL160" s="36"/>
      <c r="IM160" s="36"/>
      <c r="IN160" s="36"/>
      <c r="IO160" s="36"/>
      <c r="IP160" s="36"/>
      <c r="IQ160" s="36"/>
      <c r="IR160" s="36"/>
      <c r="IS160" s="36"/>
      <c r="IT160" s="36"/>
      <c r="IU160" s="36"/>
      <c r="IV160" s="36"/>
    </row>
    <row r="161" spans="1:256" s="35" customFormat="1" ht="15">
      <c r="A161" s="36"/>
      <c r="B161" s="141"/>
      <c r="C161" s="36"/>
      <c r="D161" s="36"/>
      <c r="E161" s="36"/>
      <c r="F161" s="36"/>
      <c r="G161" s="36"/>
      <c r="H161" s="36"/>
      <c r="I161" s="36"/>
      <c r="J161" s="36"/>
      <c r="FW161" s="36"/>
      <c r="FX161" s="36"/>
      <c r="FY161" s="36"/>
      <c r="FZ161" s="36"/>
      <c r="GA161" s="36"/>
      <c r="GB161" s="36"/>
      <c r="GC161" s="36"/>
      <c r="GD161" s="36"/>
      <c r="GE161" s="36"/>
      <c r="GF161" s="36"/>
      <c r="GG161" s="36"/>
      <c r="GH161" s="36"/>
      <c r="GI161" s="36"/>
      <c r="GJ161" s="36"/>
      <c r="GK161" s="36"/>
      <c r="GL161" s="36"/>
      <c r="GM161" s="36"/>
      <c r="GN161" s="36"/>
      <c r="GO161" s="36"/>
      <c r="GP161" s="36"/>
      <c r="GQ161" s="36"/>
      <c r="GR161" s="36"/>
      <c r="GS161" s="36"/>
      <c r="GT161" s="36"/>
      <c r="GU161" s="36"/>
      <c r="GV161" s="36"/>
      <c r="GW161" s="36"/>
      <c r="GX161" s="36"/>
      <c r="GY161" s="36"/>
      <c r="GZ161" s="36"/>
      <c r="HA161" s="36"/>
      <c r="HB161" s="36"/>
      <c r="HC161" s="36"/>
      <c r="HD161" s="36"/>
      <c r="HE161" s="36"/>
      <c r="HF161" s="36"/>
      <c r="HG161" s="36"/>
      <c r="HH161" s="36"/>
      <c r="HI161" s="36"/>
      <c r="HJ161" s="36"/>
      <c r="HK161" s="36"/>
      <c r="HL161" s="36"/>
      <c r="HM161" s="36"/>
      <c r="HN161" s="36"/>
      <c r="HO161" s="36"/>
      <c r="HP161" s="36"/>
      <c r="HQ161" s="36"/>
      <c r="HR161" s="36"/>
      <c r="HS161" s="36"/>
      <c r="HT161" s="36"/>
      <c r="HU161" s="36"/>
      <c r="HV161" s="36"/>
      <c r="HW161" s="36"/>
      <c r="HX161" s="36"/>
      <c r="HY161" s="36"/>
      <c r="HZ161" s="36"/>
      <c r="IA161" s="36"/>
      <c r="IB161" s="36"/>
      <c r="IC161" s="36"/>
      <c r="ID161" s="36"/>
      <c r="IE161" s="36"/>
      <c r="IF161" s="36"/>
      <c r="IG161" s="36"/>
      <c r="IH161" s="36"/>
      <c r="II161" s="36"/>
      <c r="IJ161" s="36"/>
      <c r="IK161" s="36"/>
      <c r="IL161" s="36"/>
      <c r="IM161" s="36"/>
      <c r="IN161" s="36"/>
      <c r="IO161" s="36"/>
      <c r="IP161" s="36"/>
      <c r="IQ161" s="36"/>
      <c r="IR161" s="36"/>
      <c r="IS161" s="36"/>
      <c r="IT161" s="36"/>
      <c r="IU161" s="36"/>
      <c r="IV161" s="36"/>
    </row>
    <row r="162" spans="1:256" s="35" customFormat="1" ht="15">
      <c r="A162" s="36"/>
      <c r="B162" s="141"/>
      <c r="C162" s="36"/>
      <c r="D162" s="36"/>
      <c r="E162" s="36"/>
      <c r="F162" s="36"/>
      <c r="G162" s="36"/>
      <c r="H162" s="36"/>
      <c r="I162" s="36"/>
      <c r="J162" s="36"/>
      <c r="FW162" s="36"/>
      <c r="FX162" s="36"/>
      <c r="FY162" s="36"/>
      <c r="FZ162" s="36"/>
      <c r="GA162" s="36"/>
      <c r="GB162" s="36"/>
      <c r="GC162" s="36"/>
      <c r="GD162" s="36"/>
      <c r="GE162" s="36"/>
      <c r="GF162" s="36"/>
      <c r="GG162" s="36"/>
      <c r="GH162" s="36"/>
      <c r="GI162" s="36"/>
      <c r="GJ162" s="36"/>
      <c r="GK162" s="36"/>
      <c r="GL162" s="36"/>
      <c r="GM162" s="36"/>
      <c r="GN162" s="36"/>
      <c r="GO162" s="36"/>
      <c r="GP162" s="36"/>
      <c r="GQ162" s="36"/>
      <c r="GR162" s="36"/>
      <c r="GS162" s="36"/>
      <c r="GT162" s="36"/>
      <c r="GU162" s="36"/>
      <c r="GV162" s="36"/>
      <c r="GW162" s="36"/>
      <c r="GX162" s="36"/>
      <c r="GY162" s="36"/>
      <c r="GZ162" s="36"/>
      <c r="HA162" s="36"/>
      <c r="HB162" s="36"/>
      <c r="HC162" s="36"/>
      <c r="HD162" s="36"/>
      <c r="HE162" s="36"/>
      <c r="HF162" s="36"/>
      <c r="HG162" s="36"/>
      <c r="HH162" s="36"/>
      <c r="HI162" s="36"/>
      <c r="HJ162" s="36"/>
      <c r="HK162" s="36"/>
      <c r="HL162" s="36"/>
      <c r="HM162" s="36"/>
      <c r="HN162" s="36"/>
      <c r="HO162" s="36"/>
      <c r="HP162" s="36"/>
      <c r="HQ162" s="36"/>
      <c r="HR162" s="36"/>
      <c r="HS162" s="36"/>
      <c r="HT162" s="36"/>
      <c r="HU162" s="36"/>
      <c r="HV162" s="36"/>
      <c r="HW162" s="36"/>
      <c r="HX162" s="36"/>
      <c r="HY162" s="36"/>
      <c r="HZ162" s="36"/>
      <c r="IA162" s="36"/>
      <c r="IB162" s="36"/>
      <c r="IC162" s="36"/>
      <c r="ID162" s="36"/>
      <c r="IE162" s="36"/>
      <c r="IF162" s="36"/>
      <c r="IG162" s="36"/>
      <c r="IH162" s="36"/>
      <c r="II162" s="36"/>
      <c r="IJ162" s="36"/>
      <c r="IK162" s="36"/>
      <c r="IL162" s="36"/>
      <c r="IM162" s="36"/>
      <c r="IN162" s="36"/>
      <c r="IO162" s="36"/>
      <c r="IP162" s="36"/>
      <c r="IQ162" s="36"/>
      <c r="IR162" s="36"/>
      <c r="IS162" s="36"/>
      <c r="IT162" s="36"/>
      <c r="IU162" s="36"/>
      <c r="IV162" s="36"/>
    </row>
    <row r="163" spans="1:256" s="35" customFormat="1" ht="15">
      <c r="A163" s="36"/>
      <c r="B163" s="141"/>
      <c r="C163" s="36"/>
      <c r="D163" s="36"/>
      <c r="E163" s="36"/>
      <c r="F163" s="36"/>
      <c r="G163" s="36"/>
      <c r="H163" s="36"/>
      <c r="I163" s="36"/>
      <c r="J163" s="36"/>
      <c r="FW163" s="36"/>
      <c r="FX163" s="36"/>
      <c r="FY163" s="36"/>
      <c r="FZ163" s="36"/>
      <c r="GA163" s="36"/>
      <c r="GB163" s="36"/>
      <c r="GC163" s="36"/>
      <c r="GD163" s="36"/>
      <c r="GE163" s="36"/>
      <c r="GF163" s="36"/>
      <c r="GG163" s="36"/>
      <c r="GH163" s="36"/>
      <c r="GI163" s="36"/>
      <c r="GJ163" s="36"/>
      <c r="GK163" s="36"/>
      <c r="GL163" s="36"/>
      <c r="GM163" s="36"/>
      <c r="GN163" s="36"/>
      <c r="GO163" s="36"/>
      <c r="GP163" s="36"/>
      <c r="GQ163" s="36"/>
      <c r="GR163" s="36"/>
      <c r="GS163" s="36"/>
      <c r="GT163" s="36"/>
      <c r="GU163" s="36"/>
      <c r="GV163" s="36"/>
      <c r="GW163" s="36"/>
      <c r="GX163" s="36"/>
      <c r="GY163" s="36"/>
      <c r="GZ163" s="36"/>
      <c r="HA163" s="36"/>
      <c r="HB163" s="36"/>
      <c r="HC163" s="36"/>
      <c r="HD163" s="36"/>
      <c r="HE163" s="36"/>
      <c r="HF163" s="36"/>
      <c r="HG163" s="36"/>
      <c r="HH163" s="36"/>
      <c r="HI163" s="36"/>
      <c r="HJ163" s="36"/>
      <c r="HK163" s="36"/>
      <c r="HL163" s="36"/>
      <c r="HM163" s="36"/>
      <c r="HN163" s="36"/>
      <c r="HO163" s="36"/>
      <c r="HP163" s="36"/>
      <c r="HQ163" s="36"/>
      <c r="HR163" s="36"/>
      <c r="HS163" s="36"/>
      <c r="HT163" s="36"/>
      <c r="HU163" s="36"/>
      <c r="HV163" s="36"/>
      <c r="HW163" s="36"/>
      <c r="HX163" s="36"/>
      <c r="HY163" s="36"/>
      <c r="HZ163" s="36"/>
      <c r="IA163" s="36"/>
      <c r="IB163" s="36"/>
      <c r="IC163" s="36"/>
      <c r="ID163" s="36"/>
      <c r="IE163" s="36"/>
      <c r="IF163" s="36"/>
      <c r="IG163" s="36"/>
      <c r="IH163" s="36"/>
      <c r="II163" s="36"/>
      <c r="IJ163" s="36"/>
      <c r="IK163" s="36"/>
      <c r="IL163" s="36"/>
      <c r="IM163" s="36"/>
      <c r="IN163" s="36"/>
      <c r="IO163" s="36"/>
      <c r="IP163" s="36"/>
      <c r="IQ163" s="36"/>
      <c r="IR163" s="36"/>
      <c r="IS163" s="36"/>
      <c r="IT163" s="36"/>
      <c r="IU163" s="36"/>
      <c r="IV163" s="36"/>
    </row>
    <row r="164" spans="1:256" s="35" customFormat="1" ht="15">
      <c r="A164" s="36"/>
      <c r="B164" s="141"/>
      <c r="C164" s="36"/>
      <c r="D164" s="36"/>
      <c r="E164" s="36"/>
      <c r="F164" s="36"/>
      <c r="G164" s="36"/>
      <c r="H164" s="36"/>
      <c r="I164" s="36"/>
      <c r="J164" s="36"/>
      <c r="FW164" s="36"/>
      <c r="FX164" s="36"/>
      <c r="FY164" s="36"/>
      <c r="FZ164" s="36"/>
      <c r="GA164" s="36"/>
      <c r="GB164" s="36"/>
      <c r="GC164" s="36"/>
      <c r="GD164" s="36"/>
      <c r="GE164" s="36"/>
      <c r="GF164" s="36"/>
      <c r="GG164" s="36"/>
      <c r="GH164" s="36"/>
      <c r="GI164" s="36"/>
      <c r="GJ164" s="36"/>
      <c r="GK164" s="36"/>
      <c r="GL164" s="36"/>
      <c r="GM164" s="36"/>
      <c r="GN164" s="36"/>
      <c r="GO164" s="36"/>
      <c r="GP164" s="36"/>
      <c r="GQ164" s="36"/>
      <c r="GR164" s="36"/>
      <c r="GS164" s="36"/>
      <c r="GT164" s="36"/>
      <c r="GU164" s="36"/>
      <c r="GV164" s="36"/>
      <c r="GW164" s="36"/>
      <c r="GX164" s="36"/>
      <c r="GY164" s="36"/>
      <c r="GZ164" s="36"/>
      <c r="HA164" s="36"/>
      <c r="HB164" s="36"/>
      <c r="HC164" s="36"/>
      <c r="HD164" s="36"/>
      <c r="HE164" s="36"/>
      <c r="HF164" s="36"/>
      <c r="HG164" s="36"/>
      <c r="HH164" s="36"/>
      <c r="HI164" s="36"/>
      <c r="HJ164" s="36"/>
      <c r="HK164" s="36"/>
      <c r="HL164" s="36"/>
      <c r="HM164" s="36"/>
      <c r="HN164" s="36"/>
      <c r="HO164" s="36"/>
      <c r="HP164" s="36"/>
      <c r="HQ164" s="36"/>
      <c r="HR164" s="36"/>
      <c r="HS164" s="36"/>
      <c r="HT164" s="36"/>
      <c r="HU164" s="36"/>
      <c r="HV164" s="36"/>
      <c r="HW164" s="36"/>
      <c r="HX164" s="36"/>
      <c r="HY164" s="36"/>
      <c r="HZ164" s="36"/>
      <c r="IA164" s="36"/>
      <c r="IB164" s="36"/>
      <c r="IC164" s="36"/>
      <c r="ID164" s="36"/>
      <c r="IE164" s="36"/>
      <c r="IF164" s="36"/>
      <c r="IG164" s="36"/>
      <c r="IH164" s="36"/>
      <c r="II164" s="36"/>
      <c r="IJ164" s="36"/>
      <c r="IK164" s="36"/>
      <c r="IL164" s="36"/>
      <c r="IM164" s="36"/>
      <c r="IN164" s="36"/>
      <c r="IO164" s="36"/>
      <c r="IP164" s="36"/>
      <c r="IQ164" s="36"/>
      <c r="IR164" s="36"/>
      <c r="IS164" s="36"/>
      <c r="IT164" s="36"/>
      <c r="IU164" s="36"/>
      <c r="IV164" s="36"/>
    </row>
    <row r="165" spans="1:256" s="35" customFormat="1" ht="15">
      <c r="A165" s="36"/>
      <c r="B165" s="141"/>
      <c r="C165" s="36"/>
      <c r="D165" s="36"/>
      <c r="E165" s="36"/>
      <c r="F165" s="36"/>
      <c r="G165" s="36"/>
      <c r="H165" s="36"/>
      <c r="I165" s="36"/>
      <c r="J165" s="36"/>
      <c r="FW165" s="36"/>
      <c r="FX165" s="36"/>
      <c r="FY165" s="36"/>
      <c r="FZ165" s="36"/>
      <c r="GA165" s="36"/>
      <c r="GB165" s="36"/>
      <c r="GC165" s="36"/>
      <c r="GD165" s="36"/>
      <c r="GE165" s="36"/>
      <c r="GF165" s="36"/>
      <c r="GG165" s="36"/>
      <c r="GH165" s="36"/>
      <c r="GI165" s="36"/>
      <c r="GJ165" s="36"/>
      <c r="GK165" s="36"/>
      <c r="GL165" s="36"/>
      <c r="GM165" s="36"/>
      <c r="GN165" s="36"/>
      <c r="GO165" s="36"/>
      <c r="GP165" s="36"/>
      <c r="GQ165" s="36"/>
      <c r="GR165" s="36"/>
      <c r="GS165" s="36"/>
      <c r="GT165" s="36"/>
      <c r="GU165" s="36"/>
      <c r="GV165" s="36"/>
      <c r="GW165" s="36"/>
      <c r="GX165" s="36"/>
      <c r="GY165" s="36"/>
      <c r="GZ165" s="36"/>
      <c r="HA165" s="36"/>
      <c r="HB165" s="36"/>
      <c r="HC165" s="36"/>
      <c r="HD165" s="36"/>
      <c r="HE165" s="36"/>
      <c r="HF165" s="36"/>
      <c r="HG165" s="36"/>
      <c r="HH165" s="36"/>
      <c r="HI165" s="36"/>
      <c r="HJ165" s="36"/>
      <c r="HK165" s="36"/>
      <c r="HL165" s="36"/>
      <c r="HM165" s="36"/>
      <c r="HN165" s="36"/>
      <c r="HO165" s="36"/>
      <c r="HP165" s="36"/>
      <c r="HQ165" s="36"/>
      <c r="HR165" s="36"/>
      <c r="HS165" s="36"/>
      <c r="HT165" s="36"/>
      <c r="HU165" s="36"/>
      <c r="HV165" s="36"/>
      <c r="HW165" s="36"/>
      <c r="HX165" s="36"/>
      <c r="HY165" s="36"/>
      <c r="HZ165" s="36"/>
      <c r="IA165" s="36"/>
      <c r="IB165" s="36"/>
      <c r="IC165" s="36"/>
      <c r="ID165" s="36"/>
      <c r="IE165" s="36"/>
      <c r="IF165" s="36"/>
      <c r="IG165" s="36"/>
      <c r="IH165" s="36"/>
      <c r="II165" s="36"/>
      <c r="IJ165" s="36"/>
      <c r="IK165" s="36"/>
      <c r="IL165" s="36"/>
      <c r="IM165" s="36"/>
      <c r="IN165" s="36"/>
      <c r="IO165" s="36"/>
      <c r="IP165" s="36"/>
      <c r="IQ165" s="36"/>
      <c r="IR165" s="36"/>
      <c r="IS165" s="36"/>
      <c r="IT165" s="36"/>
      <c r="IU165" s="36"/>
      <c r="IV165" s="36"/>
    </row>
    <row r="166" spans="1:256" s="35" customFormat="1" ht="15">
      <c r="A166" s="36"/>
      <c r="B166" s="141"/>
      <c r="C166" s="36"/>
      <c r="D166" s="36"/>
      <c r="E166" s="36"/>
      <c r="F166" s="36"/>
      <c r="G166" s="36"/>
      <c r="H166" s="36"/>
      <c r="I166" s="36"/>
      <c r="J166" s="36"/>
      <c r="FW166" s="36"/>
      <c r="FX166" s="36"/>
      <c r="FY166" s="36"/>
      <c r="FZ166" s="36"/>
      <c r="GA166" s="36"/>
      <c r="GB166" s="36"/>
      <c r="GC166" s="36"/>
      <c r="GD166" s="36"/>
      <c r="GE166" s="36"/>
      <c r="GF166" s="36"/>
      <c r="GG166" s="36"/>
      <c r="GH166" s="36"/>
      <c r="GI166" s="36"/>
      <c r="GJ166" s="36"/>
      <c r="GK166" s="36"/>
      <c r="GL166" s="36"/>
      <c r="GM166" s="36"/>
      <c r="GN166" s="36"/>
      <c r="GO166" s="36"/>
      <c r="GP166" s="36"/>
      <c r="GQ166" s="36"/>
      <c r="GR166" s="36"/>
      <c r="GS166" s="36"/>
      <c r="GT166" s="36"/>
      <c r="GU166" s="36"/>
      <c r="GV166" s="36"/>
      <c r="GW166" s="36"/>
      <c r="GX166" s="36"/>
      <c r="GY166" s="36"/>
      <c r="GZ166" s="36"/>
      <c r="HA166" s="36"/>
      <c r="HB166" s="36"/>
      <c r="HC166" s="36"/>
      <c r="HD166" s="36"/>
      <c r="HE166" s="36"/>
      <c r="HF166" s="36"/>
      <c r="HG166" s="36"/>
      <c r="HH166" s="36"/>
      <c r="HI166" s="36"/>
      <c r="HJ166" s="36"/>
      <c r="HK166" s="36"/>
      <c r="HL166" s="36"/>
      <c r="HM166" s="36"/>
      <c r="HN166" s="36"/>
      <c r="HO166" s="36"/>
      <c r="HP166" s="36"/>
      <c r="HQ166" s="36"/>
      <c r="HR166" s="36"/>
      <c r="HS166" s="36"/>
      <c r="HT166" s="36"/>
      <c r="HU166" s="36"/>
      <c r="HV166" s="36"/>
      <c r="HW166" s="36"/>
      <c r="HX166" s="36"/>
      <c r="HY166" s="36"/>
      <c r="HZ166" s="36"/>
      <c r="IA166" s="36"/>
      <c r="IB166" s="36"/>
      <c r="IC166" s="36"/>
      <c r="ID166" s="36"/>
      <c r="IE166" s="36"/>
      <c r="IF166" s="36"/>
      <c r="IG166" s="36"/>
      <c r="IH166" s="36"/>
      <c r="II166" s="36"/>
      <c r="IJ166" s="36"/>
      <c r="IK166" s="36"/>
      <c r="IL166" s="36"/>
      <c r="IM166" s="36"/>
      <c r="IN166" s="36"/>
      <c r="IO166" s="36"/>
      <c r="IP166" s="36"/>
      <c r="IQ166" s="36"/>
      <c r="IR166" s="36"/>
      <c r="IS166" s="36"/>
      <c r="IT166" s="36"/>
      <c r="IU166" s="36"/>
      <c r="IV166" s="36"/>
    </row>
    <row r="167" spans="1:256" s="35" customFormat="1" ht="15">
      <c r="A167" s="36"/>
      <c r="B167" s="141"/>
      <c r="C167" s="36"/>
      <c r="D167" s="36"/>
      <c r="E167" s="36"/>
      <c r="F167" s="36"/>
      <c r="G167" s="36"/>
      <c r="H167" s="36"/>
      <c r="I167" s="36"/>
      <c r="J167" s="36"/>
      <c r="FW167" s="36"/>
      <c r="FX167" s="36"/>
      <c r="FY167" s="36"/>
      <c r="FZ167" s="36"/>
      <c r="GA167" s="36"/>
      <c r="GB167" s="36"/>
      <c r="GC167" s="36"/>
      <c r="GD167" s="36"/>
      <c r="GE167" s="36"/>
      <c r="GF167" s="36"/>
      <c r="GG167" s="36"/>
      <c r="GH167" s="36"/>
      <c r="GI167" s="36"/>
      <c r="GJ167" s="36"/>
      <c r="GK167" s="36"/>
      <c r="GL167" s="36"/>
      <c r="GM167" s="36"/>
      <c r="GN167" s="36"/>
      <c r="GO167" s="36"/>
      <c r="GP167" s="36"/>
      <c r="GQ167" s="36"/>
      <c r="GR167" s="36"/>
      <c r="GS167" s="36"/>
      <c r="GT167" s="36"/>
      <c r="GU167" s="36"/>
      <c r="GV167" s="36"/>
      <c r="GW167" s="36"/>
      <c r="GX167" s="36"/>
      <c r="GY167" s="36"/>
      <c r="GZ167" s="36"/>
      <c r="HA167" s="36"/>
      <c r="HB167" s="36"/>
      <c r="HC167" s="36"/>
      <c r="HD167" s="36"/>
      <c r="HE167" s="36"/>
      <c r="HF167" s="36"/>
      <c r="HG167" s="36"/>
      <c r="HH167" s="36"/>
      <c r="HI167" s="36"/>
      <c r="HJ167" s="36"/>
      <c r="HK167" s="36"/>
      <c r="HL167" s="36"/>
      <c r="HM167" s="36"/>
      <c r="HN167" s="36"/>
      <c r="HO167" s="36"/>
      <c r="HP167" s="36"/>
      <c r="HQ167" s="36"/>
      <c r="HR167" s="36"/>
      <c r="HS167" s="36"/>
      <c r="HT167" s="36"/>
      <c r="HU167" s="36"/>
      <c r="HV167" s="36"/>
      <c r="HW167" s="36"/>
      <c r="HX167" s="36"/>
      <c r="HY167" s="36"/>
      <c r="HZ167" s="36"/>
      <c r="IA167" s="36"/>
      <c r="IB167" s="36"/>
      <c r="IC167" s="36"/>
      <c r="ID167" s="36"/>
      <c r="IE167" s="36"/>
      <c r="IF167" s="36"/>
      <c r="IG167" s="36"/>
      <c r="IH167" s="36"/>
      <c r="II167" s="36"/>
      <c r="IJ167" s="36"/>
      <c r="IK167" s="36"/>
      <c r="IL167" s="36"/>
      <c r="IM167" s="36"/>
      <c r="IN167" s="36"/>
      <c r="IO167" s="36"/>
      <c r="IP167" s="36"/>
      <c r="IQ167" s="36"/>
      <c r="IR167" s="36"/>
      <c r="IS167" s="36"/>
      <c r="IT167" s="36"/>
      <c r="IU167" s="36"/>
      <c r="IV167" s="36"/>
    </row>
    <row r="168" spans="1:256" s="35" customFormat="1" ht="15">
      <c r="A168" s="36"/>
      <c r="B168" s="141"/>
      <c r="C168" s="36"/>
      <c r="D168" s="36"/>
      <c r="E168" s="36"/>
      <c r="F168" s="36"/>
      <c r="G168" s="36"/>
      <c r="H168" s="36"/>
      <c r="I168" s="36"/>
      <c r="J168" s="36"/>
      <c r="FW168" s="36"/>
      <c r="FX168" s="36"/>
      <c r="FY168" s="36"/>
      <c r="FZ168" s="36"/>
      <c r="GA168" s="36"/>
      <c r="GB168" s="36"/>
      <c r="GC168" s="36"/>
      <c r="GD168" s="36"/>
      <c r="GE168" s="36"/>
      <c r="GF168" s="36"/>
      <c r="GG168" s="36"/>
      <c r="GH168" s="36"/>
      <c r="GI168" s="36"/>
      <c r="GJ168" s="36"/>
      <c r="GK168" s="36"/>
      <c r="GL168" s="36"/>
      <c r="GM168" s="36"/>
      <c r="GN168" s="36"/>
      <c r="GO168" s="36"/>
      <c r="GP168" s="36"/>
      <c r="GQ168" s="36"/>
      <c r="GR168" s="36"/>
      <c r="GS168" s="36"/>
      <c r="GT168" s="36"/>
      <c r="GU168" s="36"/>
      <c r="GV168" s="36"/>
      <c r="GW168" s="36"/>
      <c r="GX168" s="36"/>
      <c r="GY168" s="36"/>
      <c r="GZ168" s="36"/>
      <c r="HA168" s="36"/>
      <c r="HB168" s="36"/>
      <c r="HC168" s="36"/>
      <c r="HD168" s="36"/>
      <c r="HE168" s="36"/>
      <c r="HF168" s="36"/>
      <c r="HG168" s="36"/>
      <c r="HH168" s="36"/>
      <c r="HI168" s="36"/>
      <c r="HJ168" s="36"/>
      <c r="HK168" s="36"/>
      <c r="HL168" s="36"/>
      <c r="HM168" s="36"/>
      <c r="HN168" s="36"/>
      <c r="HO168" s="36"/>
      <c r="HP168" s="36"/>
      <c r="HQ168" s="36"/>
      <c r="HR168" s="36"/>
      <c r="HS168" s="36"/>
      <c r="HT168" s="36"/>
      <c r="HU168" s="36"/>
      <c r="HV168" s="36"/>
      <c r="HW168" s="36"/>
      <c r="HX168" s="36"/>
      <c r="HY168" s="36"/>
      <c r="HZ168" s="36"/>
      <c r="IA168" s="36"/>
      <c r="IB168" s="36"/>
      <c r="IC168" s="36"/>
      <c r="ID168" s="36"/>
      <c r="IE168" s="36"/>
      <c r="IF168" s="36"/>
      <c r="IG168" s="36"/>
      <c r="IH168" s="36"/>
      <c r="II168" s="36"/>
      <c r="IJ168" s="36"/>
      <c r="IK168" s="36"/>
      <c r="IL168" s="36"/>
      <c r="IM168" s="36"/>
      <c r="IN168" s="36"/>
      <c r="IO168" s="36"/>
      <c r="IP168" s="36"/>
      <c r="IQ168" s="36"/>
      <c r="IR168" s="36"/>
      <c r="IS168" s="36"/>
      <c r="IT168" s="36"/>
      <c r="IU168" s="36"/>
      <c r="IV168" s="36"/>
    </row>
    <row r="169" spans="1:256" s="35" customFormat="1" ht="15">
      <c r="A169" s="36"/>
      <c r="B169" s="141"/>
      <c r="C169" s="36"/>
      <c r="D169" s="36"/>
      <c r="E169" s="36"/>
      <c r="F169" s="36"/>
      <c r="G169" s="36"/>
      <c r="H169" s="36"/>
      <c r="I169" s="36"/>
      <c r="J169" s="36"/>
      <c r="FW169" s="36"/>
      <c r="FX169" s="36"/>
      <c r="FY169" s="36"/>
      <c r="FZ169" s="36"/>
      <c r="GA169" s="36"/>
      <c r="GB169" s="36"/>
      <c r="GC169" s="36"/>
      <c r="GD169" s="36"/>
      <c r="GE169" s="36"/>
      <c r="GF169" s="36"/>
      <c r="GG169" s="36"/>
      <c r="GH169" s="36"/>
      <c r="GI169" s="36"/>
      <c r="GJ169" s="36"/>
      <c r="GK169" s="36"/>
      <c r="GL169" s="36"/>
      <c r="GM169" s="36"/>
      <c r="GN169" s="36"/>
      <c r="GO169" s="36"/>
      <c r="GP169" s="36"/>
      <c r="GQ169" s="36"/>
      <c r="GR169" s="36"/>
      <c r="GS169" s="36"/>
      <c r="GT169" s="36"/>
      <c r="GU169" s="36"/>
      <c r="GV169" s="36"/>
      <c r="GW169" s="36"/>
      <c r="GX169" s="36"/>
      <c r="GY169" s="36"/>
      <c r="GZ169" s="36"/>
      <c r="HA169" s="36"/>
      <c r="HB169" s="36"/>
      <c r="HC169" s="36"/>
      <c r="HD169" s="36"/>
      <c r="HE169" s="36"/>
      <c r="HF169" s="36"/>
      <c r="HG169" s="36"/>
      <c r="HH169" s="36"/>
      <c r="HI169" s="36"/>
      <c r="HJ169" s="36"/>
      <c r="HK169" s="36"/>
      <c r="HL169" s="36"/>
      <c r="HM169" s="36"/>
      <c r="HN169" s="36"/>
      <c r="HO169" s="36"/>
      <c r="HP169" s="36"/>
      <c r="HQ169" s="36"/>
      <c r="HR169" s="36"/>
      <c r="HS169" s="36"/>
      <c r="HT169" s="36"/>
      <c r="HU169" s="36"/>
      <c r="HV169" s="36"/>
      <c r="HW169" s="36"/>
      <c r="HX169" s="36"/>
      <c r="HY169" s="36"/>
      <c r="HZ169" s="36"/>
      <c r="IA169" s="36"/>
      <c r="IB169" s="36"/>
      <c r="IC169" s="36"/>
      <c r="ID169" s="36"/>
      <c r="IE169" s="36"/>
      <c r="IF169" s="36"/>
      <c r="IG169" s="36"/>
      <c r="IH169" s="36"/>
      <c r="II169" s="36"/>
      <c r="IJ169" s="36"/>
      <c r="IK169" s="36"/>
      <c r="IL169" s="36"/>
      <c r="IM169" s="36"/>
      <c r="IN169" s="36"/>
      <c r="IO169" s="36"/>
      <c r="IP169" s="36"/>
      <c r="IQ169" s="36"/>
      <c r="IR169" s="36"/>
      <c r="IS169" s="36"/>
      <c r="IT169" s="36"/>
      <c r="IU169" s="36"/>
      <c r="IV169" s="36"/>
    </row>
    <row r="170" spans="1:256" s="35" customFormat="1" ht="15">
      <c r="A170" s="36"/>
      <c r="B170" s="141"/>
      <c r="C170" s="36"/>
      <c r="D170" s="36"/>
      <c r="E170" s="36"/>
      <c r="F170" s="36"/>
      <c r="G170" s="36"/>
      <c r="H170" s="36"/>
      <c r="I170" s="36"/>
      <c r="J170" s="36"/>
      <c r="FW170" s="36"/>
      <c r="FX170" s="36"/>
      <c r="FY170" s="36"/>
      <c r="FZ170" s="36"/>
      <c r="GA170" s="36"/>
      <c r="GB170" s="36"/>
      <c r="GC170" s="36"/>
      <c r="GD170" s="36"/>
      <c r="GE170" s="36"/>
      <c r="GF170" s="36"/>
      <c r="GG170" s="36"/>
      <c r="GH170" s="36"/>
      <c r="GI170" s="36"/>
      <c r="GJ170" s="36"/>
      <c r="GK170" s="36"/>
      <c r="GL170" s="36"/>
      <c r="GM170" s="36"/>
      <c r="GN170" s="36"/>
      <c r="GO170" s="36"/>
      <c r="GP170" s="36"/>
      <c r="GQ170" s="36"/>
      <c r="GR170" s="36"/>
      <c r="GS170" s="36"/>
      <c r="GT170" s="36"/>
      <c r="GU170" s="36"/>
      <c r="GV170" s="36"/>
      <c r="GW170" s="36"/>
      <c r="GX170" s="36"/>
      <c r="GY170" s="36"/>
      <c r="GZ170" s="36"/>
      <c r="HA170" s="36"/>
      <c r="HB170" s="36"/>
      <c r="HC170" s="36"/>
      <c r="HD170" s="36"/>
      <c r="HE170" s="36"/>
      <c r="HF170" s="36"/>
      <c r="HG170" s="36"/>
      <c r="HH170" s="36"/>
      <c r="HI170" s="36"/>
      <c r="HJ170" s="36"/>
      <c r="HK170" s="36"/>
      <c r="HL170" s="36"/>
      <c r="HM170" s="36"/>
      <c r="HN170" s="36"/>
      <c r="HO170" s="36"/>
      <c r="HP170" s="36"/>
      <c r="HQ170" s="36"/>
      <c r="HR170" s="36"/>
      <c r="HS170" s="36"/>
      <c r="HT170" s="36"/>
      <c r="HU170" s="36"/>
      <c r="HV170" s="36"/>
      <c r="HW170" s="36"/>
      <c r="HX170" s="36"/>
      <c r="HY170" s="36"/>
      <c r="HZ170" s="36"/>
      <c r="IA170" s="36"/>
      <c r="IB170" s="36"/>
      <c r="IC170" s="36"/>
      <c r="ID170" s="36"/>
      <c r="IE170" s="36"/>
      <c r="IF170" s="36"/>
      <c r="IG170" s="36"/>
      <c r="IH170" s="36"/>
      <c r="II170" s="36"/>
      <c r="IJ170" s="36"/>
      <c r="IK170" s="36"/>
      <c r="IL170" s="36"/>
      <c r="IM170" s="36"/>
      <c r="IN170" s="36"/>
      <c r="IO170" s="36"/>
      <c r="IP170" s="36"/>
      <c r="IQ170" s="36"/>
      <c r="IR170" s="36"/>
      <c r="IS170" s="36"/>
      <c r="IT170" s="36"/>
      <c r="IU170" s="36"/>
      <c r="IV170" s="36"/>
    </row>
    <row r="171" spans="1:256" s="35" customFormat="1" ht="15">
      <c r="A171" s="36"/>
      <c r="B171" s="141"/>
      <c r="C171" s="36"/>
      <c r="D171" s="36"/>
      <c r="E171" s="36"/>
      <c r="F171" s="36"/>
      <c r="G171" s="36"/>
      <c r="H171" s="36"/>
      <c r="I171" s="36"/>
      <c r="J171" s="36"/>
      <c r="FW171" s="36"/>
      <c r="FX171" s="36"/>
      <c r="FY171" s="36"/>
      <c r="FZ171" s="36"/>
      <c r="GA171" s="36"/>
      <c r="GB171" s="36"/>
      <c r="GC171" s="36"/>
      <c r="GD171" s="36"/>
      <c r="GE171" s="36"/>
      <c r="GF171" s="36"/>
      <c r="GG171" s="36"/>
      <c r="GH171" s="36"/>
      <c r="GI171" s="36"/>
      <c r="GJ171" s="36"/>
      <c r="GK171" s="36"/>
      <c r="GL171" s="36"/>
      <c r="GM171" s="36"/>
      <c r="GN171" s="36"/>
      <c r="GO171" s="36"/>
      <c r="GP171" s="36"/>
      <c r="GQ171" s="36"/>
      <c r="GR171" s="36"/>
      <c r="GS171" s="36"/>
      <c r="GT171" s="36"/>
      <c r="GU171" s="36"/>
      <c r="GV171" s="36"/>
      <c r="GW171" s="36"/>
      <c r="GX171" s="36"/>
      <c r="GY171" s="36"/>
      <c r="GZ171" s="36"/>
      <c r="HA171" s="36"/>
      <c r="HB171" s="36"/>
      <c r="HC171" s="36"/>
      <c r="HD171" s="36"/>
      <c r="HE171" s="36"/>
      <c r="HF171" s="36"/>
      <c r="HG171" s="36"/>
      <c r="HH171" s="36"/>
      <c r="HI171" s="36"/>
      <c r="HJ171" s="36"/>
      <c r="HK171" s="36"/>
      <c r="HL171" s="36"/>
      <c r="HM171" s="36"/>
      <c r="HN171" s="36"/>
      <c r="HO171" s="36"/>
      <c r="HP171" s="36"/>
      <c r="HQ171" s="36"/>
      <c r="HR171" s="36"/>
      <c r="HS171" s="36"/>
      <c r="HT171" s="36"/>
      <c r="HU171" s="36"/>
      <c r="HV171" s="36"/>
      <c r="HW171" s="36"/>
      <c r="HX171" s="36"/>
      <c r="HY171" s="36"/>
      <c r="HZ171" s="36"/>
      <c r="IA171" s="36"/>
      <c r="IB171" s="36"/>
      <c r="IC171" s="36"/>
      <c r="ID171" s="36"/>
      <c r="IE171" s="36"/>
      <c r="IF171" s="36"/>
      <c r="IG171" s="36"/>
      <c r="IH171" s="36"/>
      <c r="II171" s="36"/>
      <c r="IJ171" s="36"/>
      <c r="IK171" s="36"/>
      <c r="IL171" s="36"/>
      <c r="IM171" s="36"/>
      <c r="IN171" s="36"/>
      <c r="IO171" s="36"/>
      <c r="IP171" s="36"/>
      <c r="IQ171" s="36"/>
      <c r="IR171" s="36"/>
      <c r="IS171" s="36"/>
      <c r="IT171" s="36"/>
      <c r="IU171" s="36"/>
      <c r="IV171" s="36"/>
    </row>
    <row r="172" spans="1:256" s="35" customFormat="1" ht="15">
      <c r="A172" s="36"/>
      <c r="B172" s="141"/>
      <c r="C172" s="36"/>
      <c r="D172" s="36"/>
      <c r="E172" s="36"/>
      <c r="F172" s="36"/>
      <c r="G172" s="36"/>
      <c r="H172" s="36"/>
      <c r="I172" s="36"/>
      <c r="J172" s="36"/>
      <c r="FW172" s="36"/>
      <c r="FX172" s="36"/>
      <c r="FY172" s="36"/>
      <c r="FZ172" s="36"/>
      <c r="GA172" s="36"/>
      <c r="GB172" s="36"/>
      <c r="GC172" s="36"/>
      <c r="GD172" s="36"/>
      <c r="GE172" s="36"/>
      <c r="GF172" s="36"/>
      <c r="GG172" s="36"/>
      <c r="GH172" s="36"/>
      <c r="GI172" s="36"/>
      <c r="GJ172" s="36"/>
      <c r="GK172" s="36"/>
      <c r="GL172" s="36"/>
      <c r="GM172" s="36"/>
      <c r="GN172" s="36"/>
      <c r="GO172" s="36"/>
      <c r="GP172" s="36"/>
      <c r="GQ172" s="36"/>
      <c r="GR172" s="36"/>
      <c r="GS172" s="36"/>
      <c r="GT172" s="36"/>
      <c r="GU172" s="36"/>
      <c r="GV172" s="36"/>
      <c r="GW172" s="36"/>
      <c r="GX172" s="36"/>
      <c r="GY172" s="36"/>
      <c r="GZ172" s="36"/>
      <c r="HA172" s="36"/>
      <c r="HB172" s="36"/>
      <c r="HC172" s="36"/>
      <c r="HD172" s="36"/>
      <c r="HE172" s="36"/>
      <c r="HF172" s="36"/>
      <c r="HG172" s="36"/>
      <c r="HH172" s="36"/>
      <c r="HI172" s="36"/>
      <c r="HJ172" s="36"/>
      <c r="HK172" s="36"/>
      <c r="HL172" s="36"/>
      <c r="HM172" s="36"/>
      <c r="HN172" s="36"/>
      <c r="HO172" s="36"/>
      <c r="HP172" s="36"/>
      <c r="HQ172" s="36"/>
      <c r="HR172" s="36"/>
      <c r="HS172" s="36"/>
      <c r="HT172" s="36"/>
      <c r="HU172" s="36"/>
      <c r="HV172" s="36"/>
      <c r="HW172" s="36"/>
      <c r="HX172" s="36"/>
      <c r="HY172" s="36"/>
      <c r="HZ172" s="36"/>
      <c r="IA172" s="36"/>
      <c r="IB172" s="36"/>
      <c r="IC172" s="36"/>
      <c r="ID172" s="36"/>
      <c r="IE172" s="36"/>
      <c r="IF172" s="36"/>
      <c r="IG172" s="36"/>
      <c r="IH172" s="36"/>
      <c r="II172" s="36"/>
      <c r="IJ172" s="36"/>
      <c r="IK172" s="36"/>
      <c r="IL172" s="36"/>
      <c r="IM172" s="36"/>
      <c r="IN172" s="36"/>
      <c r="IO172" s="36"/>
      <c r="IP172" s="36"/>
      <c r="IQ172" s="36"/>
      <c r="IR172" s="36"/>
      <c r="IS172" s="36"/>
      <c r="IT172" s="36"/>
      <c r="IU172" s="36"/>
      <c r="IV172" s="36"/>
    </row>
    <row r="173" spans="1:256" s="35" customFormat="1" ht="15">
      <c r="A173" s="36"/>
      <c r="B173" s="141"/>
      <c r="C173" s="36"/>
      <c r="D173" s="36"/>
      <c r="E173" s="36"/>
      <c r="F173" s="36"/>
      <c r="G173" s="36"/>
      <c r="H173" s="36"/>
      <c r="I173" s="36"/>
      <c r="J173" s="36"/>
      <c r="FW173" s="36"/>
      <c r="FX173" s="36"/>
      <c r="FY173" s="36"/>
      <c r="FZ173" s="36"/>
      <c r="GA173" s="36"/>
      <c r="GB173" s="36"/>
      <c r="GC173" s="36"/>
      <c r="GD173" s="36"/>
      <c r="GE173" s="36"/>
      <c r="GF173" s="36"/>
      <c r="GG173" s="36"/>
      <c r="GH173" s="36"/>
      <c r="GI173" s="36"/>
      <c r="GJ173" s="36"/>
      <c r="GK173" s="36"/>
      <c r="GL173" s="36"/>
      <c r="GM173" s="36"/>
      <c r="GN173" s="36"/>
      <c r="GO173" s="36"/>
      <c r="GP173" s="36"/>
      <c r="GQ173" s="36"/>
      <c r="GR173" s="36"/>
      <c r="GS173" s="36"/>
      <c r="GT173" s="36"/>
      <c r="GU173" s="36"/>
      <c r="GV173" s="36"/>
      <c r="GW173" s="36"/>
      <c r="GX173" s="36"/>
      <c r="GY173" s="36"/>
      <c r="GZ173" s="36"/>
      <c r="HA173" s="36"/>
      <c r="HB173" s="36"/>
      <c r="HC173" s="36"/>
      <c r="HD173" s="36"/>
      <c r="HE173" s="36"/>
      <c r="HF173" s="36"/>
      <c r="HG173" s="36"/>
      <c r="HH173" s="36"/>
      <c r="HI173" s="36"/>
      <c r="HJ173" s="36"/>
      <c r="HK173" s="36"/>
      <c r="HL173" s="36"/>
      <c r="HM173" s="36"/>
      <c r="HN173" s="36"/>
      <c r="HO173" s="36"/>
      <c r="HP173" s="36"/>
      <c r="HQ173" s="36"/>
      <c r="HR173" s="36"/>
      <c r="HS173" s="36"/>
      <c r="HT173" s="36"/>
      <c r="HU173" s="36"/>
      <c r="HV173" s="36"/>
      <c r="HW173" s="36"/>
      <c r="HX173" s="36"/>
      <c r="HY173" s="36"/>
      <c r="HZ173" s="36"/>
      <c r="IA173" s="36"/>
      <c r="IB173" s="36"/>
      <c r="IC173" s="36"/>
      <c r="ID173" s="36"/>
      <c r="IE173" s="36"/>
      <c r="IF173" s="36"/>
      <c r="IG173" s="36"/>
      <c r="IH173" s="36"/>
      <c r="II173" s="36"/>
      <c r="IJ173" s="36"/>
      <c r="IK173" s="36"/>
      <c r="IL173" s="36"/>
      <c r="IM173" s="36"/>
      <c r="IN173" s="36"/>
      <c r="IO173" s="36"/>
      <c r="IP173" s="36"/>
      <c r="IQ173" s="36"/>
      <c r="IR173" s="36"/>
      <c r="IS173" s="36"/>
      <c r="IT173" s="36"/>
      <c r="IU173" s="36"/>
      <c r="IV173" s="36"/>
    </row>
    <row r="174" spans="1:256" s="35" customFormat="1" ht="15">
      <c r="A174" s="36"/>
      <c r="B174" s="141"/>
      <c r="C174" s="36"/>
      <c r="D174" s="36"/>
      <c r="E174" s="36"/>
      <c r="F174" s="36"/>
      <c r="G174" s="36"/>
      <c r="H174" s="36"/>
      <c r="I174" s="36"/>
      <c r="J174" s="36"/>
      <c r="FW174" s="36"/>
      <c r="FX174" s="36"/>
      <c r="FY174" s="36"/>
      <c r="FZ174" s="36"/>
      <c r="GA174" s="36"/>
      <c r="GB174" s="36"/>
      <c r="GC174" s="36"/>
      <c r="GD174" s="36"/>
      <c r="GE174" s="36"/>
      <c r="GF174" s="36"/>
      <c r="GG174" s="36"/>
      <c r="GH174" s="36"/>
      <c r="GI174" s="36"/>
      <c r="GJ174" s="36"/>
      <c r="GK174" s="36"/>
      <c r="GL174" s="36"/>
      <c r="GM174" s="36"/>
      <c r="GN174" s="36"/>
      <c r="GO174" s="36"/>
      <c r="GP174" s="36"/>
      <c r="GQ174" s="36"/>
      <c r="GR174" s="36"/>
      <c r="GS174" s="36"/>
      <c r="GT174" s="36"/>
      <c r="GU174" s="36"/>
      <c r="GV174" s="36"/>
      <c r="GW174" s="36"/>
      <c r="GX174" s="36"/>
      <c r="GY174" s="36"/>
      <c r="GZ174" s="36"/>
      <c r="HA174" s="36"/>
      <c r="HB174" s="36"/>
      <c r="HC174" s="36"/>
      <c r="HD174" s="36"/>
      <c r="HE174" s="36"/>
      <c r="HF174" s="36"/>
      <c r="HG174" s="36"/>
      <c r="HH174" s="36"/>
      <c r="HI174" s="36"/>
      <c r="HJ174" s="36"/>
      <c r="HK174" s="36"/>
      <c r="HL174" s="36"/>
      <c r="HM174" s="36"/>
      <c r="HN174" s="36"/>
      <c r="HO174" s="36"/>
      <c r="HP174" s="36"/>
      <c r="HQ174" s="36"/>
      <c r="HR174" s="36"/>
      <c r="HS174" s="36"/>
      <c r="HT174" s="36"/>
      <c r="HU174" s="36"/>
      <c r="HV174" s="36"/>
      <c r="HW174" s="36"/>
      <c r="HX174" s="36"/>
      <c r="HY174" s="36"/>
      <c r="HZ174" s="36"/>
      <c r="IA174" s="36"/>
      <c r="IB174" s="36"/>
      <c r="IC174" s="36"/>
      <c r="ID174" s="36"/>
      <c r="IE174" s="36"/>
      <c r="IF174" s="36"/>
      <c r="IG174" s="36"/>
      <c r="IH174" s="36"/>
      <c r="II174" s="36"/>
      <c r="IJ174" s="36"/>
      <c r="IK174" s="36"/>
      <c r="IL174" s="36"/>
      <c r="IM174" s="36"/>
      <c r="IN174" s="36"/>
      <c r="IO174" s="36"/>
      <c r="IP174" s="36"/>
      <c r="IQ174" s="36"/>
      <c r="IR174" s="36"/>
      <c r="IS174" s="36"/>
      <c r="IT174" s="36"/>
      <c r="IU174" s="36"/>
      <c r="IV174" s="36"/>
    </row>
    <row r="175" spans="1:256" s="35" customFormat="1" ht="15">
      <c r="A175" s="36"/>
      <c r="B175" s="141"/>
      <c r="C175" s="36"/>
      <c r="D175" s="36"/>
      <c r="E175" s="36"/>
      <c r="F175" s="36"/>
      <c r="G175" s="36"/>
      <c r="H175" s="36"/>
      <c r="I175" s="36"/>
      <c r="J175" s="36"/>
      <c r="FW175" s="36"/>
      <c r="FX175" s="36"/>
      <c r="FY175" s="36"/>
      <c r="FZ175" s="36"/>
      <c r="GA175" s="36"/>
      <c r="GB175" s="36"/>
      <c r="GC175" s="36"/>
      <c r="GD175" s="36"/>
      <c r="GE175" s="36"/>
      <c r="GF175" s="36"/>
      <c r="GG175" s="36"/>
      <c r="GH175" s="36"/>
      <c r="GI175" s="36"/>
      <c r="GJ175" s="36"/>
      <c r="GK175" s="36"/>
      <c r="GL175" s="36"/>
      <c r="GM175" s="36"/>
      <c r="GN175" s="36"/>
      <c r="GO175" s="36"/>
      <c r="GP175" s="36"/>
      <c r="GQ175" s="36"/>
      <c r="GR175" s="36"/>
      <c r="GS175" s="36"/>
      <c r="GT175" s="36"/>
      <c r="GU175" s="36"/>
      <c r="GV175" s="36"/>
      <c r="GW175" s="36"/>
      <c r="GX175" s="36"/>
      <c r="GY175" s="36"/>
      <c r="GZ175" s="36"/>
      <c r="HA175" s="36"/>
      <c r="HB175" s="36"/>
      <c r="HC175" s="36"/>
      <c r="HD175" s="36"/>
      <c r="HE175" s="36"/>
      <c r="HF175" s="36"/>
      <c r="HG175" s="36"/>
      <c r="HH175" s="36"/>
      <c r="HI175" s="36"/>
      <c r="HJ175" s="36"/>
      <c r="HK175" s="36"/>
      <c r="HL175" s="36"/>
      <c r="HM175" s="36"/>
      <c r="HN175" s="36"/>
      <c r="HO175" s="36"/>
      <c r="HP175" s="36"/>
      <c r="HQ175" s="36"/>
      <c r="HR175" s="36"/>
      <c r="HS175" s="36"/>
      <c r="HT175" s="36"/>
      <c r="HU175" s="36"/>
      <c r="HV175" s="36"/>
      <c r="HW175" s="36"/>
      <c r="HX175" s="36"/>
      <c r="HY175" s="36"/>
      <c r="HZ175" s="36"/>
      <c r="IA175" s="36"/>
      <c r="IB175" s="36"/>
      <c r="IC175" s="36"/>
      <c r="ID175" s="36"/>
      <c r="IE175" s="36"/>
      <c r="IF175" s="36"/>
      <c r="IG175" s="36"/>
      <c r="IH175" s="36"/>
      <c r="II175" s="36"/>
      <c r="IJ175" s="36"/>
      <c r="IK175" s="36"/>
      <c r="IL175" s="36"/>
      <c r="IM175" s="36"/>
      <c r="IN175" s="36"/>
      <c r="IO175" s="36"/>
      <c r="IP175" s="36"/>
      <c r="IQ175" s="36"/>
      <c r="IR175" s="36"/>
      <c r="IS175" s="36"/>
      <c r="IT175" s="36"/>
      <c r="IU175" s="36"/>
      <c r="IV175" s="36"/>
    </row>
    <row r="176" spans="1:256" s="35" customFormat="1" ht="15">
      <c r="A176" s="36"/>
      <c r="B176" s="141"/>
      <c r="C176" s="36"/>
      <c r="D176" s="36"/>
      <c r="E176" s="36"/>
      <c r="F176" s="36"/>
      <c r="G176" s="36"/>
      <c r="H176" s="36"/>
      <c r="I176" s="36"/>
      <c r="J176" s="36"/>
      <c r="FW176" s="36"/>
      <c r="FX176" s="36"/>
      <c r="FY176" s="36"/>
      <c r="FZ176" s="36"/>
      <c r="GA176" s="36"/>
      <c r="GB176" s="36"/>
      <c r="GC176" s="36"/>
      <c r="GD176" s="36"/>
      <c r="GE176" s="36"/>
      <c r="GF176" s="36"/>
      <c r="GG176" s="36"/>
      <c r="GH176" s="36"/>
      <c r="GI176" s="36"/>
      <c r="GJ176" s="36"/>
      <c r="GK176" s="36"/>
      <c r="GL176" s="36"/>
      <c r="GM176" s="36"/>
      <c r="GN176" s="36"/>
      <c r="GO176" s="36"/>
      <c r="GP176" s="36"/>
      <c r="GQ176" s="36"/>
      <c r="GR176" s="36"/>
      <c r="GS176" s="36"/>
      <c r="GT176" s="36"/>
      <c r="GU176" s="36"/>
      <c r="GV176" s="36"/>
      <c r="GW176" s="36"/>
      <c r="GX176" s="36"/>
      <c r="GY176" s="36"/>
      <c r="GZ176" s="36"/>
      <c r="HA176" s="36"/>
      <c r="HB176" s="36"/>
      <c r="HC176" s="36"/>
      <c r="HD176" s="36"/>
      <c r="HE176" s="36"/>
      <c r="HF176" s="36"/>
      <c r="HG176" s="36"/>
      <c r="HH176" s="36"/>
      <c r="HI176" s="36"/>
      <c r="HJ176" s="36"/>
      <c r="HK176" s="36"/>
      <c r="HL176" s="36"/>
      <c r="HM176" s="36"/>
      <c r="HN176" s="36"/>
      <c r="HO176" s="36"/>
      <c r="HP176" s="36"/>
      <c r="HQ176" s="36"/>
      <c r="HR176" s="36"/>
      <c r="HS176" s="36"/>
      <c r="HT176" s="36"/>
      <c r="HU176" s="36"/>
      <c r="HV176" s="36"/>
      <c r="HW176" s="36"/>
      <c r="HX176" s="36"/>
      <c r="HY176" s="36"/>
      <c r="HZ176" s="36"/>
      <c r="IA176" s="36"/>
      <c r="IB176" s="36"/>
      <c r="IC176" s="36"/>
      <c r="ID176" s="36"/>
      <c r="IE176" s="36"/>
      <c r="IF176" s="36"/>
      <c r="IG176" s="36"/>
      <c r="IH176" s="36"/>
      <c r="II176" s="36"/>
      <c r="IJ176" s="36"/>
      <c r="IK176" s="36"/>
      <c r="IL176" s="36"/>
      <c r="IM176" s="36"/>
      <c r="IN176" s="36"/>
      <c r="IO176" s="36"/>
      <c r="IP176" s="36"/>
      <c r="IQ176" s="36"/>
      <c r="IR176" s="36"/>
      <c r="IS176" s="36"/>
      <c r="IT176" s="36"/>
      <c r="IU176" s="36"/>
      <c r="IV176" s="36"/>
    </row>
    <row r="177" spans="1:256" s="35" customFormat="1" ht="15">
      <c r="A177" s="36"/>
      <c r="B177" s="141"/>
      <c r="C177" s="36"/>
      <c r="D177" s="36"/>
      <c r="E177" s="36"/>
      <c r="F177" s="36"/>
      <c r="G177" s="36"/>
      <c r="H177" s="36"/>
      <c r="I177" s="36"/>
      <c r="J177" s="36"/>
      <c r="FW177" s="36"/>
      <c r="FX177" s="36"/>
      <c r="FY177" s="36"/>
      <c r="FZ177" s="36"/>
      <c r="GA177" s="36"/>
      <c r="GB177" s="36"/>
      <c r="GC177" s="36"/>
      <c r="GD177" s="36"/>
      <c r="GE177" s="36"/>
      <c r="GF177" s="36"/>
      <c r="GG177" s="36"/>
      <c r="GH177" s="36"/>
      <c r="GI177" s="36"/>
      <c r="GJ177" s="36"/>
      <c r="GK177" s="36"/>
      <c r="GL177" s="36"/>
      <c r="GM177" s="36"/>
      <c r="GN177" s="36"/>
      <c r="GO177" s="36"/>
      <c r="GP177" s="36"/>
      <c r="GQ177" s="36"/>
      <c r="GR177" s="36"/>
      <c r="GS177" s="36"/>
      <c r="GT177" s="36"/>
      <c r="GU177" s="36"/>
      <c r="GV177" s="36"/>
      <c r="GW177" s="36"/>
      <c r="GX177" s="36"/>
      <c r="GY177" s="36"/>
      <c r="GZ177" s="36"/>
      <c r="HA177" s="36"/>
      <c r="HB177" s="36"/>
      <c r="HC177" s="36"/>
      <c r="HD177" s="36"/>
      <c r="HE177" s="36"/>
      <c r="HF177" s="36"/>
      <c r="HG177" s="36"/>
      <c r="HH177" s="36"/>
      <c r="HI177" s="36"/>
      <c r="HJ177" s="36"/>
      <c r="HK177" s="36"/>
      <c r="HL177" s="36"/>
      <c r="HM177" s="36"/>
      <c r="HN177" s="36"/>
      <c r="HO177" s="36"/>
      <c r="HP177" s="36"/>
      <c r="HQ177" s="36"/>
      <c r="HR177" s="36"/>
      <c r="HS177" s="36"/>
      <c r="HT177" s="36"/>
      <c r="HU177" s="36"/>
      <c r="HV177" s="36"/>
      <c r="HW177" s="36"/>
      <c r="HX177" s="36"/>
      <c r="HY177" s="36"/>
      <c r="HZ177" s="36"/>
      <c r="IA177" s="36"/>
      <c r="IB177" s="36"/>
      <c r="IC177" s="36"/>
      <c r="ID177" s="36"/>
      <c r="IE177" s="36"/>
      <c r="IF177" s="36"/>
      <c r="IG177" s="36"/>
      <c r="IH177" s="36"/>
      <c r="II177" s="36"/>
      <c r="IJ177" s="36"/>
      <c r="IK177" s="36"/>
      <c r="IL177" s="36"/>
      <c r="IM177" s="36"/>
      <c r="IN177" s="36"/>
      <c r="IO177" s="36"/>
      <c r="IP177" s="36"/>
      <c r="IQ177" s="36"/>
      <c r="IR177" s="36"/>
      <c r="IS177" s="36"/>
      <c r="IT177" s="36"/>
      <c r="IU177" s="36"/>
      <c r="IV177" s="36"/>
    </row>
    <row r="178" spans="1:256" s="35" customFormat="1" ht="15">
      <c r="A178" s="36"/>
      <c r="B178" s="141"/>
      <c r="C178" s="36"/>
      <c r="D178" s="36"/>
      <c r="E178" s="36"/>
      <c r="F178" s="36"/>
      <c r="G178" s="36"/>
      <c r="H178" s="36"/>
      <c r="I178" s="36"/>
      <c r="J178" s="36"/>
      <c r="FW178" s="36"/>
      <c r="FX178" s="36"/>
      <c r="FY178" s="36"/>
      <c r="FZ178" s="36"/>
      <c r="GA178" s="36"/>
      <c r="GB178" s="36"/>
      <c r="GC178" s="36"/>
      <c r="GD178" s="36"/>
      <c r="GE178" s="36"/>
      <c r="GF178" s="36"/>
      <c r="GG178" s="36"/>
      <c r="GH178" s="36"/>
      <c r="GI178" s="36"/>
      <c r="GJ178" s="36"/>
      <c r="GK178" s="36"/>
      <c r="GL178" s="36"/>
      <c r="GM178" s="36"/>
      <c r="GN178" s="36"/>
      <c r="GO178" s="36"/>
      <c r="GP178" s="36"/>
      <c r="GQ178" s="36"/>
      <c r="GR178" s="36"/>
      <c r="GS178" s="36"/>
      <c r="GT178" s="36"/>
      <c r="GU178" s="36"/>
      <c r="GV178" s="36"/>
      <c r="GW178" s="36"/>
      <c r="GX178" s="36"/>
      <c r="GY178" s="36"/>
      <c r="GZ178" s="36"/>
      <c r="HA178" s="36"/>
      <c r="HB178" s="36"/>
      <c r="HC178" s="36"/>
      <c r="HD178" s="36"/>
      <c r="HE178" s="36"/>
      <c r="HF178" s="36"/>
      <c r="HG178" s="36"/>
      <c r="HH178" s="36"/>
      <c r="HI178" s="36"/>
      <c r="HJ178" s="36"/>
      <c r="HK178" s="36"/>
      <c r="HL178" s="36"/>
      <c r="HM178" s="36"/>
      <c r="HN178" s="36"/>
      <c r="HO178" s="36"/>
      <c r="HP178" s="36"/>
      <c r="HQ178" s="36"/>
      <c r="HR178" s="36"/>
      <c r="HS178" s="36"/>
      <c r="HT178" s="36"/>
      <c r="HU178" s="36"/>
      <c r="HV178" s="36"/>
      <c r="HW178" s="36"/>
      <c r="HX178" s="36"/>
      <c r="HY178" s="36"/>
      <c r="HZ178" s="36"/>
      <c r="IA178" s="36"/>
      <c r="IB178" s="36"/>
      <c r="IC178" s="36"/>
      <c r="ID178" s="36"/>
      <c r="IE178" s="36"/>
      <c r="IF178" s="36"/>
      <c r="IG178" s="36"/>
      <c r="IH178" s="36"/>
      <c r="II178" s="36"/>
      <c r="IJ178" s="36"/>
      <c r="IK178" s="36"/>
      <c r="IL178" s="36"/>
      <c r="IM178" s="36"/>
      <c r="IN178" s="36"/>
      <c r="IO178" s="36"/>
      <c r="IP178" s="36"/>
      <c r="IQ178" s="36"/>
      <c r="IR178" s="36"/>
      <c r="IS178" s="36"/>
      <c r="IT178" s="36"/>
      <c r="IU178" s="36"/>
      <c r="IV178" s="36"/>
    </row>
    <row r="179" spans="1:256" s="35" customFormat="1" ht="15">
      <c r="A179" s="36"/>
      <c r="B179" s="141"/>
      <c r="C179" s="36"/>
      <c r="D179" s="36"/>
      <c r="E179" s="36"/>
      <c r="F179" s="36"/>
      <c r="G179" s="36"/>
      <c r="H179" s="36"/>
      <c r="I179" s="36"/>
      <c r="J179" s="36"/>
      <c r="FW179" s="36"/>
      <c r="FX179" s="36"/>
      <c r="FY179" s="36"/>
      <c r="FZ179" s="36"/>
      <c r="GA179" s="36"/>
      <c r="GB179" s="36"/>
      <c r="GC179" s="36"/>
      <c r="GD179" s="36"/>
      <c r="GE179" s="36"/>
      <c r="GF179" s="36"/>
      <c r="GG179" s="36"/>
      <c r="GH179" s="36"/>
      <c r="GI179" s="36"/>
      <c r="GJ179" s="36"/>
      <c r="GK179" s="36"/>
      <c r="GL179" s="36"/>
      <c r="GM179" s="36"/>
      <c r="GN179" s="36"/>
      <c r="GO179" s="36"/>
      <c r="GP179" s="36"/>
      <c r="GQ179" s="36"/>
      <c r="GR179" s="36"/>
      <c r="GS179" s="36"/>
      <c r="GT179" s="36"/>
      <c r="GU179" s="36"/>
      <c r="GV179" s="36"/>
      <c r="GW179" s="36"/>
      <c r="GX179" s="36"/>
      <c r="GY179" s="36"/>
      <c r="GZ179" s="36"/>
      <c r="HA179" s="36"/>
      <c r="HB179" s="36"/>
      <c r="HC179" s="36"/>
      <c r="HD179" s="36"/>
      <c r="HE179" s="36"/>
      <c r="HF179" s="36"/>
      <c r="HG179" s="36"/>
      <c r="HH179" s="36"/>
      <c r="HI179" s="36"/>
      <c r="HJ179" s="36"/>
      <c r="HK179" s="36"/>
      <c r="HL179" s="36"/>
      <c r="HM179" s="36"/>
      <c r="HN179" s="36"/>
      <c r="HO179" s="36"/>
      <c r="HP179" s="36"/>
      <c r="HQ179" s="36"/>
      <c r="HR179" s="36"/>
      <c r="HS179" s="36"/>
      <c r="HT179" s="36"/>
      <c r="HU179" s="36"/>
      <c r="HV179" s="36"/>
      <c r="HW179" s="36"/>
      <c r="HX179" s="36"/>
      <c r="HY179" s="36"/>
      <c r="HZ179" s="36"/>
      <c r="IA179" s="36"/>
      <c r="IB179" s="36"/>
      <c r="IC179" s="36"/>
      <c r="ID179" s="36"/>
      <c r="IE179" s="36"/>
      <c r="IF179" s="36"/>
      <c r="IG179" s="36"/>
      <c r="IH179" s="36"/>
      <c r="II179" s="36"/>
      <c r="IJ179" s="36"/>
      <c r="IK179" s="36"/>
      <c r="IL179" s="36"/>
      <c r="IM179" s="36"/>
      <c r="IN179" s="36"/>
      <c r="IO179" s="36"/>
      <c r="IP179" s="36"/>
      <c r="IQ179" s="36"/>
      <c r="IR179" s="36"/>
      <c r="IS179" s="36"/>
      <c r="IT179" s="36"/>
      <c r="IU179" s="36"/>
      <c r="IV179" s="36"/>
    </row>
    <row r="180" spans="1:256" s="35" customFormat="1" ht="15">
      <c r="A180" s="36"/>
      <c r="B180" s="141"/>
      <c r="C180" s="36"/>
      <c r="D180" s="36"/>
      <c r="E180" s="36"/>
      <c r="F180" s="36"/>
      <c r="G180" s="36"/>
      <c r="H180" s="36"/>
      <c r="I180" s="36"/>
      <c r="J180" s="36"/>
      <c r="FW180" s="36"/>
      <c r="FX180" s="36"/>
      <c r="FY180" s="36"/>
      <c r="FZ180" s="36"/>
      <c r="GA180" s="36"/>
      <c r="GB180" s="36"/>
      <c r="GC180" s="36"/>
      <c r="GD180" s="36"/>
      <c r="GE180" s="36"/>
      <c r="GF180" s="36"/>
      <c r="GG180" s="36"/>
      <c r="GH180" s="36"/>
      <c r="GI180" s="36"/>
      <c r="GJ180" s="36"/>
      <c r="GK180" s="36"/>
      <c r="GL180" s="36"/>
      <c r="GM180" s="36"/>
      <c r="GN180" s="36"/>
      <c r="GO180" s="36"/>
      <c r="GP180" s="36"/>
      <c r="GQ180" s="36"/>
      <c r="GR180" s="36"/>
      <c r="GS180" s="36"/>
      <c r="GT180" s="36"/>
      <c r="GU180" s="36"/>
      <c r="GV180" s="36"/>
      <c r="GW180" s="36"/>
      <c r="GX180" s="36"/>
      <c r="GY180" s="36"/>
      <c r="GZ180" s="36"/>
      <c r="HA180" s="36"/>
      <c r="HB180" s="36"/>
      <c r="HC180" s="36"/>
      <c r="HD180" s="36"/>
      <c r="HE180" s="36"/>
      <c r="HF180" s="36"/>
      <c r="HG180" s="36"/>
      <c r="HH180" s="36"/>
      <c r="HI180" s="36"/>
      <c r="HJ180" s="36"/>
      <c r="HK180" s="36"/>
      <c r="HL180" s="36"/>
      <c r="HM180" s="36"/>
      <c r="HN180" s="36"/>
      <c r="HO180" s="36"/>
      <c r="HP180" s="36"/>
      <c r="HQ180" s="36"/>
      <c r="HR180" s="36"/>
      <c r="HS180" s="36"/>
      <c r="HT180" s="36"/>
      <c r="HU180" s="36"/>
      <c r="HV180" s="36"/>
      <c r="HW180" s="36"/>
      <c r="HX180" s="36"/>
      <c r="HY180" s="36"/>
      <c r="HZ180" s="36"/>
      <c r="IA180" s="36"/>
      <c r="IB180" s="36"/>
      <c r="IC180" s="36"/>
      <c r="ID180" s="36"/>
      <c r="IE180" s="36"/>
      <c r="IF180" s="36"/>
      <c r="IG180" s="36"/>
      <c r="IH180" s="36"/>
      <c r="II180" s="36"/>
      <c r="IJ180" s="36"/>
      <c r="IK180" s="36"/>
      <c r="IL180" s="36"/>
      <c r="IM180" s="36"/>
      <c r="IN180" s="36"/>
      <c r="IO180" s="36"/>
      <c r="IP180" s="36"/>
      <c r="IQ180" s="36"/>
      <c r="IR180" s="36"/>
      <c r="IS180" s="36"/>
      <c r="IT180" s="36"/>
      <c r="IU180" s="36"/>
      <c r="IV180" s="36"/>
    </row>
    <row r="181" spans="1:256" s="35" customFormat="1" ht="15">
      <c r="A181" s="36"/>
      <c r="B181" s="141"/>
      <c r="C181" s="36"/>
      <c r="D181" s="36"/>
      <c r="E181" s="36"/>
      <c r="F181" s="36"/>
      <c r="G181" s="36"/>
      <c r="H181" s="36"/>
      <c r="I181" s="36"/>
      <c r="J181" s="36"/>
      <c r="FW181" s="36"/>
      <c r="FX181" s="36"/>
      <c r="FY181" s="36"/>
      <c r="FZ181" s="36"/>
      <c r="GA181" s="36"/>
      <c r="GB181" s="36"/>
      <c r="GC181" s="36"/>
      <c r="GD181" s="36"/>
      <c r="GE181" s="36"/>
      <c r="GF181" s="36"/>
      <c r="GG181" s="36"/>
      <c r="GH181" s="36"/>
      <c r="GI181" s="36"/>
      <c r="GJ181" s="36"/>
      <c r="GK181" s="36"/>
      <c r="GL181" s="36"/>
      <c r="GM181" s="36"/>
      <c r="GN181" s="36"/>
      <c r="GO181" s="36"/>
      <c r="GP181" s="36"/>
      <c r="GQ181" s="36"/>
      <c r="GR181" s="36"/>
      <c r="GS181" s="36"/>
      <c r="GT181" s="36"/>
      <c r="GU181" s="36"/>
      <c r="GV181" s="36"/>
      <c r="GW181" s="36"/>
      <c r="GX181" s="36"/>
      <c r="GY181" s="36"/>
      <c r="GZ181" s="36"/>
      <c r="HA181" s="36"/>
      <c r="HB181" s="36"/>
      <c r="HC181" s="36"/>
      <c r="HD181" s="36"/>
      <c r="HE181" s="36"/>
      <c r="HF181" s="36"/>
      <c r="HG181" s="36"/>
      <c r="HH181" s="36"/>
      <c r="HI181" s="36"/>
      <c r="HJ181" s="36"/>
      <c r="HK181" s="36"/>
      <c r="HL181" s="36"/>
      <c r="HM181" s="36"/>
      <c r="HN181" s="36"/>
      <c r="HO181" s="36"/>
      <c r="HP181" s="36"/>
      <c r="HQ181" s="36"/>
      <c r="HR181" s="36"/>
      <c r="HS181" s="36"/>
      <c r="HT181" s="36"/>
      <c r="HU181" s="36"/>
      <c r="HV181" s="36"/>
      <c r="HW181" s="36"/>
      <c r="HX181" s="36"/>
      <c r="HY181" s="36"/>
      <c r="HZ181" s="36"/>
      <c r="IA181" s="36"/>
      <c r="IB181" s="36"/>
      <c r="IC181" s="36"/>
      <c r="ID181" s="36"/>
      <c r="IE181" s="36"/>
      <c r="IF181" s="36"/>
      <c r="IG181" s="36"/>
      <c r="IH181" s="36"/>
      <c r="II181" s="36"/>
      <c r="IJ181" s="36"/>
      <c r="IK181" s="36"/>
      <c r="IL181" s="36"/>
      <c r="IM181" s="36"/>
      <c r="IN181" s="36"/>
      <c r="IO181" s="36"/>
      <c r="IP181" s="36"/>
      <c r="IQ181" s="36"/>
      <c r="IR181" s="36"/>
      <c r="IS181" s="36"/>
      <c r="IT181" s="36"/>
      <c r="IU181" s="36"/>
      <c r="IV181" s="36"/>
    </row>
    <row r="182" spans="1:256" s="35" customFormat="1" ht="15">
      <c r="A182" s="36"/>
      <c r="B182" s="141"/>
      <c r="C182" s="36"/>
      <c r="D182" s="36"/>
      <c r="E182" s="36"/>
      <c r="F182" s="36"/>
      <c r="G182" s="36"/>
      <c r="H182" s="36"/>
      <c r="I182" s="36"/>
      <c r="J182" s="36"/>
      <c r="FW182" s="36"/>
      <c r="FX182" s="36"/>
      <c r="FY182" s="36"/>
      <c r="FZ182" s="36"/>
      <c r="GA182" s="36"/>
      <c r="GB182" s="36"/>
      <c r="GC182" s="36"/>
      <c r="GD182" s="36"/>
      <c r="GE182" s="36"/>
      <c r="GF182" s="36"/>
      <c r="GG182" s="36"/>
      <c r="GH182" s="36"/>
      <c r="GI182" s="36"/>
      <c r="GJ182" s="36"/>
      <c r="GK182" s="36"/>
      <c r="GL182" s="36"/>
      <c r="GM182" s="36"/>
      <c r="GN182" s="36"/>
      <c r="GO182" s="36"/>
      <c r="GP182" s="36"/>
      <c r="GQ182" s="36"/>
      <c r="GR182" s="36"/>
      <c r="GS182" s="36"/>
      <c r="GT182" s="36"/>
      <c r="GU182" s="36"/>
      <c r="GV182" s="36"/>
      <c r="GW182" s="36"/>
      <c r="GX182" s="36"/>
      <c r="GY182" s="36"/>
      <c r="GZ182" s="36"/>
      <c r="HA182" s="36"/>
      <c r="HB182" s="36"/>
      <c r="HC182" s="36"/>
      <c r="HD182" s="36"/>
      <c r="HE182" s="36"/>
      <c r="HF182" s="36"/>
      <c r="HG182" s="36"/>
      <c r="HH182" s="36"/>
      <c r="HI182" s="36"/>
      <c r="HJ182" s="36"/>
      <c r="HK182" s="36"/>
      <c r="HL182" s="36"/>
      <c r="HM182" s="36"/>
      <c r="HN182" s="36"/>
      <c r="HO182" s="36"/>
      <c r="HP182" s="36"/>
      <c r="HQ182" s="36"/>
      <c r="HR182" s="36"/>
      <c r="HS182" s="36"/>
      <c r="HT182" s="36"/>
      <c r="HU182" s="36"/>
      <c r="HV182" s="36"/>
      <c r="HW182" s="36"/>
      <c r="HX182" s="36"/>
      <c r="HY182" s="36"/>
      <c r="HZ182" s="36"/>
      <c r="IA182" s="36"/>
      <c r="IB182" s="36"/>
      <c r="IC182" s="36"/>
      <c r="ID182" s="36"/>
      <c r="IE182" s="36"/>
      <c r="IF182" s="36"/>
      <c r="IG182" s="36"/>
      <c r="IH182" s="36"/>
      <c r="II182" s="36"/>
      <c r="IJ182" s="36"/>
      <c r="IK182" s="36"/>
      <c r="IL182" s="36"/>
      <c r="IM182" s="36"/>
      <c r="IN182" s="36"/>
      <c r="IO182" s="36"/>
      <c r="IP182" s="36"/>
      <c r="IQ182" s="36"/>
      <c r="IR182" s="36"/>
      <c r="IS182" s="36"/>
      <c r="IT182" s="36"/>
      <c r="IU182" s="36"/>
      <c r="IV182" s="36"/>
    </row>
    <row r="183" spans="1:256" s="35" customFormat="1" ht="15">
      <c r="A183" s="36"/>
      <c r="B183" s="141"/>
      <c r="C183" s="36"/>
      <c r="D183" s="36"/>
      <c r="E183" s="36"/>
      <c r="F183" s="36"/>
      <c r="G183" s="36"/>
      <c r="H183" s="36"/>
      <c r="I183" s="36"/>
      <c r="J183" s="36"/>
      <c r="FW183" s="36"/>
      <c r="FX183" s="36"/>
      <c r="FY183" s="36"/>
      <c r="FZ183" s="36"/>
      <c r="GA183" s="36"/>
      <c r="GB183" s="36"/>
      <c r="GC183" s="36"/>
      <c r="GD183" s="36"/>
      <c r="GE183" s="36"/>
      <c r="GF183" s="36"/>
      <c r="GG183" s="36"/>
      <c r="GH183" s="36"/>
      <c r="GI183" s="36"/>
      <c r="GJ183" s="36"/>
      <c r="GK183" s="36"/>
      <c r="GL183" s="36"/>
      <c r="GM183" s="36"/>
      <c r="GN183" s="36"/>
      <c r="GO183" s="36"/>
      <c r="GP183" s="36"/>
      <c r="GQ183" s="36"/>
      <c r="GR183" s="36"/>
      <c r="GS183" s="36"/>
      <c r="GT183" s="36"/>
      <c r="GU183" s="36"/>
      <c r="GV183" s="36"/>
      <c r="GW183" s="36"/>
      <c r="GX183" s="36"/>
      <c r="GY183" s="36"/>
      <c r="GZ183" s="36"/>
      <c r="HA183" s="36"/>
      <c r="HB183" s="36"/>
      <c r="HC183" s="36"/>
      <c r="HD183" s="36"/>
      <c r="HE183" s="36"/>
      <c r="HF183" s="36"/>
      <c r="HG183" s="36"/>
      <c r="HH183" s="36"/>
      <c r="HI183" s="36"/>
      <c r="HJ183" s="36"/>
      <c r="HK183" s="36"/>
      <c r="HL183" s="36"/>
      <c r="HM183" s="36"/>
      <c r="HN183" s="36"/>
      <c r="HO183" s="36"/>
      <c r="HP183" s="36"/>
      <c r="HQ183" s="36"/>
      <c r="HR183" s="36"/>
      <c r="HS183" s="36"/>
      <c r="HT183" s="36"/>
      <c r="HU183" s="36"/>
      <c r="HV183" s="36"/>
      <c r="HW183" s="36"/>
      <c r="HX183" s="36"/>
      <c r="HY183" s="36"/>
      <c r="HZ183" s="36"/>
      <c r="IA183" s="36"/>
      <c r="IB183" s="36"/>
      <c r="IC183" s="36"/>
      <c r="ID183" s="36"/>
      <c r="IE183" s="36"/>
      <c r="IF183" s="36"/>
      <c r="IG183" s="36"/>
      <c r="IH183" s="36"/>
      <c r="II183" s="36"/>
      <c r="IJ183" s="36"/>
      <c r="IK183" s="36"/>
      <c r="IL183" s="36"/>
      <c r="IM183" s="36"/>
      <c r="IN183" s="36"/>
      <c r="IO183" s="36"/>
      <c r="IP183" s="36"/>
      <c r="IQ183" s="36"/>
      <c r="IR183" s="36"/>
      <c r="IS183" s="36"/>
      <c r="IT183" s="36"/>
      <c r="IU183" s="36"/>
      <c r="IV183" s="36"/>
    </row>
    <row r="184" spans="1:256" s="35" customFormat="1" ht="15">
      <c r="A184" s="36"/>
      <c r="B184" s="141"/>
      <c r="C184" s="36"/>
      <c r="D184" s="36"/>
      <c r="E184" s="36"/>
      <c r="F184" s="36"/>
      <c r="G184" s="36"/>
      <c r="H184" s="36"/>
      <c r="I184" s="36"/>
      <c r="J184" s="36"/>
      <c r="FW184" s="36"/>
      <c r="FX184" s="36"/>
      <c r="FY184" s="36"/>
      <c r="FZ184" s="36"/>
      <c r="GA184" s="36"/>
      <c r="GB184" s="36"/>
      <c r="GC184" s="36"/>
      <c r="GD184" s="36"/>
      <c r="GE184" s="36"/>
      <c r="GF184" s="36"/>
      <c r="GG184" s="36"/>
      <c r="GH184" s="36"/>
      <c r="GI184" s="36"/>
      <c r="GJ184" s="36"/>
      <c r="GK184" s="36"/>
      <c r="GL184" s="36"/>
      <c r="GM184" s="36"/>
      <c r="GN184" s="36"/>
      <c r="GO184" s="36"/>
      <c r="GP184" s="36"/>
      <c r="GQ184" s="36"/>
      <c r="GR184" s="36"/>
      <c r="GS184" s="36"/>
      <c r="GT184" s="36"/>
      <c r="GU184" s="36"/>
      <c r="GV184" s="36"/>
      <c r="GW184" s="36"/>
      <c r="GX184" s="36"/>
      <c r="GY184" s="36"/>
      <c r="GZ184" s="36"/>
      <c r="HA184" s="36"/>
      <c r="HB184" s="36"/>
      <c r="HC184" s="36"/>
      <c r="HD184" s="36"/>
      <c r="HE184" s="36"/>
      <c r="HF184" s="36"/>
      <c r="HG184" s="36"/>
      <c r="HH184" s="36"/>
      <c r="HI184" s="36"/>
      <c r="HJ184" s="36"/>
      <c r="HK184" s="36"/>
      <c r="HL184" s="36"/>
      <c r="HM184" s="36"/>
      <c r="HN184" s="36"/>
      <c r="HO184" s="36"/>
      <c r="HP184" s="36"/>
      <c r="HQ184" s="36"/>
      <c r="HR184" s="36"/>
      <c r="HS184" s="36"/>
      <c r="HT184" s="36"/>
      <c r="HU184" s="36"/>
      <c r="HV184" s="36"/>
      <c r="HW184" s="36"/>
      <c r="HX184" s="36"/>
      <c r="HY184" s="36"/>
      <c r="HZ184" s="36"/>
      <c r="IA184" s="36"/>
      <c r="IB184" s="36"/>
      <c r="IC184" s="36"/>
      <c r="ID184" s="36"/>
      <c r="IE184" s="36"/>
      <c r="IF184" s="36"/>
      <c r="IG184" s="36"/>
      <c r="IH184" s="36"/>
      <c r="II184" s="36"/>
      <c r="IJ184" s="36"/>
      <c r="IK184" s="36"/>
      <c r="IL184" s="36"/>
      <c r="IM184" s="36"/>
      <c r="IN184" s="36"/>
      <c r="IO184" s="36"/>
      <c r="IP184" s="36"/>
      <c r="IQ184" s="36"/>
      <c r="IR184" s="36"/>
      <c r="IS184" s="36"/>
      <c r="IT184" s="36"/>
      <c r="IU184" s="36"/>
      <c r="IV184" s="36"/>
    </row>
    <row r="185" spans="1:256" s="35" customFormat="1" ht="15">
      <c r="A185" s="36"/>
      <c r="B185" s="141"/>
      <c r="C185" s="36"/>
      <c r="D185" s="36"/>
      <c r="E185" s="36"/>
      <c r="F185" s="36"/>
      <c r="G185" s="36"/>
      <c r="H185" s="36"/>
      <c r="I185" s="36"/>
      <c r="J185" s="36"/>
      <c r="FW185" s="36"/>
      <c r="FX185" s="36"/>
      <c r="FY185" s="36"/>
      <c r="FZ185" s="36"/>
      <c r="GA185" s="36"/>
      <c r="GB185" s="36"/>
      <c r="GC185" s="36"/>
      <c r="GD185" s="36"/>
      <c r="GE185" s="36"/>
      <c r="GF185" s="36"/>
      <c r="GG185" s="36"/>
      <c r="GH185" s="36"/>
      <c r="GI185" s="36"/>
      <c r="GJ185" s="36"/>
      <c r="GK185" s="36"/>
      <c r="GL185" s="36"/>
      <c r="GM185" s="36"/>
      <c r="GN185" s="36"/>
      <c r="GO185" s="36"/>
      <c r="GP185" s="36"/>
      <c r="GQ185" s="36"/>
      <c r="GR185" s="36"/>
      <c r="GS185" s="36"/>
      <c r="GT185" s="36"/>
      <c r="GU185" s="36"/>
      <c r="GV185" s="36"/>
      <c r="GW185" s="36"/>
      <c r="GX185" s="36"/>
      <c r="GY185" s="36"/>
      <c r="GZ185" s="36"/>
      <c r="HA185" s="36"/>
      <c r="HB185" s="36"/>
      <c r="HC185" s="36"/>
      <c r="HD185" s="36"/>
      <c r="HE185" s="36"/>
      <c r="HF185" s="36"/>
      <c r="HG185" s="36"/>
      <c r="HH185" s="36"/>
      <c r="HI185" s="36"/>
      <c r="HJ185" s="36"/>
      <c r="HK185" s="36"/>
      <c r="HL185" s="36"/>
      <c r="HM185" s="36"/>
      <c r="HN185" s="36"/>
      <c r="HO185" s="36"/>
      <c r="HP185" s="36"/>
      <c r="HQ185" s="36"/>
      <c r="HR185" s="36"/>
      <c r="HS185" s="36"/>
      <c r="HT185" s="36"/>
      <c r="HU185" s="36"/>
      <c r="HV185" s="36"/>
      <c r="HW185" s="36"/>
      <c r="HX185" s="36"/>
      <c r="HY185" s="36"/>
      <c r="HZ185" s="36"/>
      <c r="IA185" s="36"/>
      <c r="IB185" s="36"/>
      <c r="IC185" s="36"/>
      <c r="ID185" s="36"/>
      <c r="IE185" s="36"/>
      <c r="IF185" s="36"/>
      <c r="IG185" s="36"/>
      <c r="IH185" s="36"/>
      <c r="II185" s="36"/>
      <c r="IJ185" s="36"/>
      <c r="IK185" s="36"/>
      <c r="IL185" s="36"/>
      <c r="IM185" s="36"/>
      <c r="IN185" s="36"/>
      <c r="IO185" s="36"/>
      <c r="IP185" s="36"/>
      <c r="IQ185" s="36"/>
      <c r="IR185" s="36"/>
      <c r="IS185" s="36"/>
      <c r="IT185" s="36"/>
      <c r="IU185" s="36"/>
      <c r="IV185" s="36"/>
    </row>
    <row r="186" spans="1:256" s="35" customFormat="1" ht="15">
      <c r="A186" s="36"/>
      <c r="B186" s="141"/>
      <c r="C186" s="36"/>
      <c r="D186" s="36"/>
      <c r="E186" s="36"/>
      <c r="F186" s="36"/>
      <c r="G186" s="36"/>
      <c r="H186" s="36"/>
      <c r="I186" s="36"/>
      <c r="J186" s="36"/>
      <c r="FW186" s="36"/>
      <c r="FX186" s="36"/>
      <c r="FY186" s="36"/>
      <c r="FZ186" s="36"/>
      <c r="GA186" s="36"/>
      <c r="GB186" s="36"/>
      <c r="GC186" s="36"/>
      <c r="GD186" s="36"/>
      <c r="GE186" s="36"/>
      <c r="GF186" s="36"/>
      <c r="GG186" s="36"/>
      <c r="GH186" s="36"/>
      <c r="GI186" s="36"/>
      <c r="GJ186" s="36"/>
      <c r="GK186" s="36"/>
      <c r="GL186" s="36"/>
      <c r="GM186" s="36"/>
      <c r="GN186" s="36"/>
      <c r="GO186" s="36"/>
      <c r="GP186" s="36"/>
      <c r="GQ186" s="36"/>
      <c r="GR186" s="36"/>
      <c r="GS186" s="36"/>
      <c r="GT186" s="36"/>
      <c r="GU186" s="36"/>
      <c r="GV186" s="36"/>
      <c r="GW186" s="36"/>
      <c r="GX186" s="36"/>
      <c r="GY186" s="36"/>
      <c r="GZ186" s="36"/>
      <c r="HA186" s="36"/>
      <c r="HB186" s="36"/>
      <c r="HC186" s="36"/>
      <c r="HD186" s="36"/>
      <c r="HE186" s="36"/>
      <c r="HF186" s="36"/>
      <c r="HG186" s="36"/>
      <c r="HH186" s="36"/>
      <c r="HI186" s="36"/>
      <c r="HJ186" s="36"/>
      <c r="HK186" s="36"/>
      <c r="HL186" s="36"/>
      <c r="HM186" s="36"/>
      <c r="HN186" s="36"/>
      <c r="HO186" s="36"/>
      <c r="HP186" s="36"/>
      <c r="HQ186" s="36"/>
      <c r="HR186" s="36"/>
      <c r="HS186" s="36"/>
      <c r="HT186" s="36"/>
      <c r="HU186" s="36"/>
      <c r="HV186" s="36"/>
      <c r="HW186" s="36"/>
      <c r="HX186" s="36"/>
      <c r="HY186" s="36"/>
      <c r="HZ186" s="36"/>
      <c r="IA186" s="36"/>
      <c r="IB186" s="36"/>
      <c r="IC186" s="36"/>
      <c r="ID186" s="36"/>
      <c r="IE186" s="36"/>
      <c r="IF186" s="36"/>
      <c r="IG186" s="36"/>
      <c r="IH186" s="36"/>
      <c r="II186" s="36"/>
      <c r="IJ186" s="36"/>
      <c r="IK186" s="36"/>
      <c r="IL186" s="36"/>
      <c r="IM186" s="36"/>
      <c r="IN186" s="36"/>
      <c r="IO186" s="36"/>
      <c r="IP186" s="36"/>
      <c r="IQ186" s="36"/>
      <c r="IR186" s="36"/>
      <c r="IS186" s="36"/>
      <c r="IT186" s="36"/>
      <c r="IU186" s="36"/>
      <c r="IV186" s="36"/>
    </row>
    <row r="187" spans="1:256" s="35" customFormat="1" ht="15">
      <c r="A187" s="36"/>
      <c r="B187" s="141"/>
      <c r="C187" s="36"/>
      <c r="D187" s="36"/>
      <c r="E187" s="36"/>
      <c r="F187" s="36"/>
      <c r="G187" s="36"/>
      <c r="H187" s="36"/>
      <c r="I187" s="36"/>
      <c r="J187" s="36"/>
      <c r="FW187" s="36"/>
      <c r="FX187" s="36"/>
      <c r="FY187" s="36"/>
      <c r="FZ187" s="36"/>
      <c r="GA187" s="36"/>
      <c r="GB187" s="36"/>
      <c r="GC187" s="36"/>
      <c r="GD187" s="36"/>
      <c r="GE187" s="36"/>
      <c r="GF187" s="36"/>
      <c r="GG187" s="36"/>
      <c r="GH187" s="36"/>
      <c r="GI187" s="36"/>
      <c r="GJ187" s="36"/>
      <c r="GK187" s="36"/>
      <c r="GL187" s="36"/>
      <c r="GM187" s="36"/>
      <c r="GN187" s="36"/>
      <c r="GO187" s="36"/>
      <c r="GP187" s="36"/>
      <c r="GQ187" s="36"/>
      <c r="GR187" s="36"/>
      <c r="GS187" s="36"/>
      <c r="GT187" s="36"/>
      <c r="GU187" s="36"/>
      <c r="GV187" s="36"/>
      <c r="GW187" s="36"/>
      <c r="GX187" s="36"/>
      <c r="GY187" s="36"/>
      <c r="GZ187" s="36"/>
      <c r="HA187" s="36"/>
      <c r="HB187" s="36"/>
      <c r="HC187" s="36"/>
      <c r="HD187" s="36"/>
      <c r="HE187" s="36"/>
      <c r="HF187" s="36"/>
      <c r="HG187" s="36"/>
      <c r="HH187" s="36"/>
      <c r="HI187" s="36"/>
      <c r="HJ187" s="36"/>
      <c r="HK187" s="36"/>
      <c r="HL187" s="36"/>
      <c r="HM187" s="36"/>
      <c r="HN187" s="36"/>
      <c r="HO187" s="36"/>
      <c r="HP187" s="36"/>
      <c r="HQ187" s="36"/>
      <c r="HR187" s="36"/>
      <c r="HS187" s="36"/>
      <c r="HT187" s="36"/>
      <c r="HU187" s="36"/>
      <c r="HV187" s="36"/>
      <c r="HW187" s="36"/>
      <c r="HX187" s="36"/>
      <c r="HY187" s="36"/>
      <c r="HZ187" s="36"/>
      <c r="IA187" s="36"/>
      <c r="IB187" s="36"/>
      <c r="IC187" s="36"/>
      <c r="ID187" s="36"/>
      <c r="IE187" s="36"/>
      <c r="IF187" s="36"/>
      <c r="IG187" s="36"/>
      <c r="IH187" s="36"/>
      <c r="II187" s="36"/>
      <c r="IJ187" s="36"/>
      <c r="IK187" s="36"/>
      <c r="IL187" s="36"/>
      <c r="IM187" s="36"/>
      <c r="IN187" s="36"/>
      <c r="IO187" s="36"/>
      <c r="IP187" s="36"/>
      <c r="IQ187" s="36"/>
      <c r="IR187" s="36"/>
      <c r="IS187" s="36"/>
      <c r="IT187" s="36"/>
      <c r="IU187" s="36"/>
      <c r="IV187" s="36"/>
    </row>
    <row r="188" spans="1:256" s="35" customFormat="1" ht="15">
      <c r="A188" s="36"/>
      <c r="B188" s="141"/>
      <c r="C188" s="36"/>
      <c r="D188" s="36"/>
      <c r="E188" s="36"/>
      <c r="F188" s="36"/>
      <c r="G188" s="36"/>
      <c r="H188" s="36"/>
      <c r="I188" s="36"/>
      <c r="J188" s="36"/>
      <c r="FW188" s="36"/>
      <c r="FX188" s="36"/>
      <c r="FY188" s="36"/>
      <c r="FZ188" s="36"/>
      <c r="GA188" s="36"/>
      <c r="GB188" s="36"/>
      <c r="GC188" s="36"/>
      <c r="GD188" s="36"/>
      <c r="GE188" s="36"/>
      <c r="GF188" s="36"/>
      <c r="GG188" s="36"/>
      <c r="GH188" s="36"/>
      <c r="GI188" s="36"/>
      <c r="GJ188" s="36"/>
      <c r="GK188" s="36"/>
      <c r="GL188" s="36"/>
      <c r="GM188" s="36"/>
      <c r="GN188" s="36"/>
      <c r="GO188" s="36"/>
      <c r="GP188" s="36"/>
      <c r="GQ188" s="36"/>
      <c r="GR188" s="36"/>
      <c r="GS188" s="36"/>
      <c r="GT188" s="36"/>
      <c r="GU188" s="36"/>
      <c r="GV188" s="36"/>
      <c r="GW188" s="36"/>
      <c r="GX188" s="36"/>
      <c r="GY188" s="36"/>
      <c r="GZ188" s="36"/>
      <c r="HA188" s="36"/>
      <c r="HB188" s="36"/>
      <c r="HC188" s="36"/>
      <c r="HD188" s="36"/>
      <c r="HE188" s="36"/>
      <c r="HF188" s="36"/>
      <c r="HG188" s="36"/>
      <c r="HH188" s="36"/>
      <c r="HI188" s="36"/>
      <c r="HJ188" s="36"/>
      <c r="HK188" s="36"/>
      <c r="HL188" s="36"/>
      <c r="HM188" s="36"/>
      <c r="HN188" s="36"/>
      <c r="HO188" s="36"/>
      <c r="HP188" s="36"/>
      <c r="HQ188" s="36"/>
      <c r="HR188" s="36"/>
      <c r="HS188" s="36"/>
      <c r="HT188" s="36"/>
      <c r="HU188" s="36"/>
      <c r="HV188" s="36"/>
      <c r="HW188" s="36"/>
      <c r="HX188" s="36"/>
      <c r="HY188" s="36"/>
      <c r="HZ188" s="36"/>
      <c r="IA188" s="36"/>
      <c r="IB188" s="36"/>
      <c r="IC188" s="36"/>
      <c r="ID188" s="36"/>
      <c r="IE188" s="36"/>
      <c r="IF188" s="36"/>
      <c r="IG188" s="36"/>
      <c r="IH188" s="36"/>
      <c r="II188" s="36"/>
      <c r="IJ188" s="36"/>
      <c r="IK188" s="36"/>
      <c r="IL188" s="36"/>
      <c r="IM188" s="36"/>
      <c r="IN188" s="36"/>
      <c r="IO188" s="36"/>
      <c r="IP188" s="36"/>
      <c r="IQ188" s="36"/>
      <c r="IR188" s="36"/>
      <c r="IS188" s="36"/>
      <c r="IT188" s="36"/>
      <c r="IU188" s="36"/>
      <c r="IV188" s="36"/>
    </row>
    <row r="189" spans="1:256" s="35" customFormat="1" ht="15">
      <c r="A189" s="36"/>
      <c r="B189" s="141"/>
      <c r="C189" s="36"/>
      <c r="D189" s="36"/>
      <c r="E189" s="36"/>
      <c r="F189" s="36"/>
      <c r="G189" s="36"/>
      <c r="H189" s="36"/>
      <c r="I189" s="36"/>
      <c r="J189" s="36"/>
      <c r="FW189" s="36"/>
      <c r="FX189" s="36"/>
      <c r="FY189" s="36"/>
      <c r="FZ189" s="36"/>
      <c r="GA189" s="36"/>
      <c r="GB189" s="36"/>
      <c r="GC189" s="36"/>
      <c r="GD189" s="36"/>
      <c r="GE189" s="36"/>
      <c r="GF189" s="36"/>
      <c r="GG189" s="36"/>
      <c r="GH189" s="36"/>
      <c r="GI189" s="36"/>
      <c r="GJ189" s="36"/>
      <c r="GK189" s="36"/>
      <c r="GL189" s="36"/>
      <c r="GM189" s="36"/>
      <c r="GN189" s="36"/>
      <c r="GO189" s="36"/>
      <c r="GP189" s="36"/>
      <c r="GQ189" s="36"/>
      <c r="GR189" s="36"/>
      <c r="GS189" s="36"/>
      <c r="GT189" s="36"/>
      <c r="GU189" s="36"/>
      <c r="GV189" s="36"/>
      <c r="GW189" s="36"/>
      <c r="GX189" s="36"/>
      <c r="GY189" s="36"/>
      <c r="GZ189" s="36"/>
      <c r="HA189" s="36"/>
      <c r="HB189" s="36"/>
      <c r="HC189" s="36"/>
      <c r="HD189" s="36"/>
      <c r="HE189" s="36"/>
      <c r="HF189" s="36"/>
      <c r="HG189" s="36"/>
      <c r="HH189" s="36"/>
      <c r="HI189" s="36"/>
      <c r="HJ189" s="36"/>
      <c r="HK189" s="36"/>
      <c r="HL189" s="36"/>
      <c r="HM189" s="36"/>
      <c r="HN189" s="36"/>
      <c r="HO189" s="36"/>
      <c r="HP189" s="36"/>
      <c r="HQ189" s="36"/>
      <c r="HR189" s="36"/>
      <c r="HS189" s="36"/>
      <c r="HT189" s="36"/>
      <c r="HU189" s="36"/>
      <c r="HV189" s="36"/>
      <c r="HW189" s="36"/>
      <c r="HX189" s="36"/>
      <c r="HY189" s="36"/>
      <c r="HZ189" s="36"/>
      <c r="IA189" s="36"/>
      <c r="IB189" s="36"/>
      <c r="IC189" s="36"/>
      <c r="ID189" s="36"/>
      <c r="IE189" s="36"/>
      <c r="IF189" s="36"/>
      <c r="IG189" s="36"/>
      <c r="IH189" s="36"/>
      <c r="II189" s="36"/>
      <c r="IJ189" s="36"/>
      <c r="IK189" s="36"/>
      <c r="IL189" s="36"/>
      <c r="IM189" s="36"/>
      <c r="IN189" s="36"/>
      <c r="IO189" s="36"/>
      <c r="IP189" s="36"/>
      <c r="IQ189" s="36"/>
      <c r="IR189" s="36"/>
      <c r="IS189" s="36"/>
      <c r="IT189" s="36"/>
      <c r="IU189" s="36"/>
      <c r="IV189" s="36"/>
    </row>
    <row r="190" spans="1:256" s="35" customFormat="1" ht="15">
      <c r="A190" s="36"/>
      <c r="B190" s="141"/>
      <c r="C190" s="36"/>
      <c r="D190" s="36"/>
      <c r="E190" s="36"/>
      <c r="F190" s="36"/>
      <c r="G190" s="36"/>
      <c r="H190" s="36"/>
      <c r="I190" s="36"/>
      <c r="J190" s="36"/>
      <c r="FW190" s="36"/>
      <c r="FX190" s="36"/>
      <c r="FY190" s="36"/>
      <c r="FZ190" s="36"/>
      <c r="GA190" s="36"/>
      <c r="GB190" s="36"/>
      <c r="GC190" s="36"/>
      <c r="GD190" s="36"/>
      <c r="GE190" s="36"/>
      <c r="GF190" s="36"/>
      <c r="GG190" s="36"/>
      <c r="GH190" s="36"/>
      <c r="GI190" s="36"/>
      <c r="GJ190" s="36"/>
      <c r="GK190" s="36"/>
      <c r="GL190" s="36"/>
      <c r="GM190" s="36"/>
      <c r="GN190" s="36"/>
      <c r="GO190" s="36"/>
      <c r="GP190" s="36"/>
      <c r="GQ190" s="36"/>
      <c r="GR190" s="36"/>
      <c r="GS190" s="36"/>
      <c r="GT190" s="36"/>
      <c r="GU190" s="36"/>
      <c r="GV190" s="36"/>
      <c r="GW190" s="36"/>
      <c r="GX190" s="36"/>
      <c r="GY190" s="36"/>
      <c r="GZ190" s="36"/>
      <c r="HA190" s="36"/>
      <c r="HB190" s="36"/>
      <c r="HC190" s="36"/>
      <c r="HD190" s="36"/>
      <c r="HE190" s="36"/>
      <c r="HF190" s="36"/>
      <c r="HG190" s="36"/>
      <c r="HH190" s="36"/>
      <c r="HI190" s="36"/>
      <c r="HJ190" s="36"/>
      <c r="HK190" s="36"/>
      <c r="HL190" s="36"/>
      <c r="HM190" s="36"/>
      <c r="HN190" s="36"/>
      <c r="HO190" s="36"/>
      <c r="HP190" s="36"/>
      <c r="HQ190" s="36"/>
      <c r="HR190" s="36"/>
      <c r="HS190" s="36"/>
      <c r="HT190" s="36"/>
      <c r="HU190" s="36"/>
      <c r="HV190" s="36"/>
      <c r="HW190" s="36"/>
      <c r="HX190" s="36"/>
      <c r="HY190" s="36"/>
      <c r="HZ190" s="36"/>
      <c r="IA190" s="36"/>
      <c r="IB190" s="36"/>
      <c r="IC190" s="36"/>
      <c r="ID190" s="36"/>
      <c r="IE190" s="36"/>
      <c r="IF190" s="36"/>
      <c r="IG190" s="36"/>
      <c r="IH190" s="36"/>
      <c r="II190" s="36"/>
      <c r="IJ190" s="36"/>
      <c r="IK190" s="36"/>
      <c r="IL190" s="36"/>
      <c r="IM190" s="36"/>
      <c r="IN190" s="36"/>
      <c r="IO190" s="36"/>
      <c r="IP190" s="36"/>
      <c r="IQ190" s="36"/>
      <c r="IR190" s="36"/>
      <c r="IS190" s="36"/>
      <c r="IT190" s="36"/>
      <c r="IU190" s="36"/>
      <c r="IV190" s="36"/>
    </row>
    <row r="191" spans="1:256" s="35" customFormat="1" ht="15">
      <c r="A191" s="36"/>
      <c r="B191" s="141"/>
      <c r="C191" s="36"/>
      <c r="D191" s="36"/>
      <c r="E191" s="36"/>
      <c r="F191" s="36"/>
      <c r="G191" s="36"/>
      <c r="H191" s="36"/>
      <c r="I191" s="36"/>
      <c r="J191" s="36"/>
      <c r="FW191" s="36"/>
      <c r="FX191" s="36"/>
      <c r="FY191" s="36"/>
      <c r="FZ191" s="36"/>
      <c r="GA191" s="36"/>
      <c r="GB191" s="36"/>
      <c r="GC191" s="36"/>
      <c r="GD191" s="36"/>
      <c r="GE191" s="36"/>
      <c r="GF191" s="36"/>
      <c r="GG191" s="36"/>
      <c r="GH191" s="36"/>
      <c r="GI191" s="36"/>
      <c r="GJ191" s="36"/>
      <c r="GK191" s="36"/>
      <c r="GL191" s="36"/>
      <c r="GM191" s="36"/>
      <c r="GN191" s="36"/>
      <c r="GO191" s="36"/>
      <c r="GP191" s="36"/>
      <c r="GQ191" s="36"/>
      <c r="GR191" s="36"/>
      <c r="GS191" s="36"/>
      <c r="GT191" s="36"/>
      <c r="GU191" s="36"/>
      <c r="GV191" s="36"/>
      <c r="GW191" s="36"/>
      <c r="GX191" s="36"/>
      <c r="GY191" s="36"/>
      <c r="GZ191" s="36"/>
      <c r="HA191" s="36"/>
      <c r="HB191" s="36"/>
      <c r="HC191" s="36"/>
      <c r="HD191" s="36"/>
      <c r="HE191" s="36"/>
      <c r="HF191" s="36"/>
      <c r="HG191" s="36"/>
      <c r="HH191" s="36"/>
      <c r="HI191" s="36"/>
      <c r="HJ191" s="36"/>
      <c r="HK191" s="36"/>
      <c r="HL191" s="36"/>
      <c r="HM191" s="36"/>
      <c r="HN191" s="36"/>
      <c r="HO191" s="36"/>
      <c r="HP191" s="36"/>
      <c r="HQ191" s="36"/>
      <c r="HR191" s="36"/>
      <c r="HS191" s="36"/>
      <c r="HT191" s="36"/>
      <c r="HU191" s="36"/>
      <c r="HV191" s="36"/>
      <c r="HW191" s="36"/>
      <c r="HX191" s="36"/>
      <c r="HY191" s="36"/>
      <c r="HZ191" s="36"/>
      <c r="IA191" s="36"/>
      <c r="IB191" s="36"/>
      <c r="IC191" s="36"/>
      <c r="ID191" s="36"/>
      <c r="IE191" s="36"/>
      <c r="IF191" s="36"/>
      <c r="IG191" s="36"/>
      <c r="IH191" s="36"/>
      <c r="II191" s="36"/>
      <c r="IJ191" s="36"/>
      <c r="IK191" s="36"/>
      <c r="IL191" s="36"/>
      <c r="IM191" s="36"/>
      <c r="IN191" s="36"/>
      <c r="IO191" s="36"/>
      <c r="IP191" s="36"/>
      <c r="IQ191" s="36"/>
      <c r="IR191" s="36"/>
      <c r="IS191" s="36"/>
      <c r="IT191" s="36"/>
      <c r="IU191" s="36"/>
      <c r="IV191" s="36"/>
    </row>
    <row r="192" spans="1:256" s="35" customFormat="1" ht="15">
      <c r="A192" s="36"/>
      <c r="B192" s="141"/>
      <c r="C192" s="36"/>
      <c r="D192" s="36"/>
      <c r="E192" s="36"/>
      <c r="F192" s="36"/>
      <c r="G192" s="36"/>
      <c r="H192" s="36"/>
      <c r="I192" s="36"/>
      <c r="J192" s="36"/>
      <c r="FW192" s="36"/>
      <c r="FX192" s="36"/>
      <c r="FY192" s="36"/>
      <c r="FZ192" s="36"/>
      <c r="GA192" s="36"/>
      <c r="GB192" s="36"/>
      <c r="GC192" s="36"/>
      <c r="GD192" s="36"/>
      <c r="GE192" s="36"/>
      <c r="GF192" s="36"/>
      <c r="GG192" s="36"/>
      <c r="GH192" s="36"/>
      <c r="GI192" s="36"/>
      <c r="GJ192" s="36"/>
      <c r="GK192" s="36"/>
      <c r="GL192" s="36"/>
      <c r="GM192" s="36"/>
      <c r="GN192" s="36"/>
      <c r="GO192" s="36"/>
      <c r="GP192" s="36"/>
      <c r="GQ192" s="36"/>
      <c r="GR192" s="36"/>
      <c r="GS192" s="36"/>
      <c r="GT192" s="36"/>
      <c r="GU192" s="36"/>
      <c r="GV192" s="36"/>
      <c r="GW192" s="36"/>
      <c r="GX192" s="36"/>
      <c r="GY192" s="36"/>
      <c r="GZ192" s="36"/>
      <c r="HA192" s="36"/>
      <c r="HB192" s="36"/>
      <c r="HC192" s="36"/>
      <c r="HD192" s="36"/>
      <c r="HE192" s="36"/>
      <c r="HF192" s="36"/>
      <c r="HG192" s="36"/>
      <c r="HH192" s="36"/>
      <c r="HI192" s="36"/>
      <c r="HJ192" s="36"/>
      <c r="HK192" s="36"/>
      <c r="HL192" s="36"/>
      <c r="HM192" s="36"/>
      <c r="HN192" s="36"/>
      <c r="HO192" s="36"/>
      <c r="HP192" s="36"/>
      <c r="HQ192" s="36"/>
      <c r="HR192" s="36"/>
      <c r="HS192" s="36"/>
      <c r="HT192" s="36"/>
      <c r="HU192" s="36"/>
      <c r="HV192" s="36"/>
      <c r="HW192" s="36"/>
      <c r="HX192" s="36"/>
      <c r="HY192" s="36"/>
      <c r="HZ192" s="36"/>
      <c r="IA192" s="36"/>
      <c r="IB192" s="36"/>
      <c r="IC192" s="36"/>
      <c r="ID192" s="36"/>
      <c r="IE192" s="36"/>
      <c r="IF192" s="36"/>
      <c r="IG192" s="36"/>
      <c r="IH192" s="36"/>
      <c r="II192" s="36"/>
      <c r="IJ192" s="36"/>
      <c r="IK192" s="36"/>
      <c r="IL192" s="36"/>
      <c r="IM192" s="36"/>
      <c r="IN192" s="36"/>
      <c r="IO192" s="36"/>
      <c r="IP192" s="36"/>
      <c r="IQ192" s="36"/>
      <c r="IR192" s="36"/>
      <c r="IS192" s="36"/>
      <c r="IT192" s="36"/>
      <c r="IU192" s="36"/>
      <c r="IV192" s="36"/>
    </row>
    <row r="193" spans="1:256" s="35" customFormat="1" ht="15">
      <c r="A193" s="36"/>
      <c r="B193" s="141"/>
      <c r="C193" s="36"/>
      <c r="D193" s="36"/>
      <c r="E193" s="36"/>
      <c r="F193" s="36"/>
      <c r="G193" s="36"/>
      <c r="H193" s="36"/>
      <c r="I193" s="36"/>
      <c r="J193" s="36"/>
      <c r="FW193" s="36"/>
      <c r="FX193" s="36"/>
      <c r="FY193" s="36"/>
      <c r="FZ193" s="36"/>
      <c r="GA193" s="36"/>
      <c r="GB193" s="36"/>
      <c r="GC193" s="36"/>
      <c r="GD193" s="36"/>
      <c r="GE193" s="36"/>
      <c r="GF193" s="36"/>
      <c r="GG193" s="36"/>
      <c r="GH193" s="36"/>
      <c r="GI193" s="36"/>
      <c r="GJ193" s="36"/>
      <c r="GK193" s="36"/>
      <c r="GL193" s="36"/>
      <c r="GM193" s="36"/>
      <c r="GN193" s="36"/>
      <c r="GO193" s="36"/>
      <c r="GP193" s="36"/>
      <c r="GQ193" s="36"/>
      <c r="GR193" s="36"/>
      <c r="GS193" s="36"/>
      <c r="GT193" s="36"/>
      <c r="GU193" s="36"/>
      <c r="GV193" s="36"/>
      <c r="GW193" s="36"/>
      <c r="GX193" s="36"/>
      <c r="GY193" s="36"/>
      <c r="GZ193" s="36"/>
      <c r="HA193" s="36"/>
      <c r="HB193" s="36"/>
      <c r="HC193" s="36"/>
      <c r="HD193" s="36"/>
      <c r="HE193" s="36"/>
      <c r="HF193" s="36"/>
      <c r="HG193" s="36"/>
      <c r="HH193" s="36"/>
      <c r="HI193" s="36"/>
      <c r="HJ193" s="36"/>
      <c r="HK193" s="36"/>
      <c r="HL193" s="36"/>
      <c r="HM193" s="36"/>
      <c r="HN193" s="36"/>
      <c r="HO193" s="36"/>
      <c r="HP193" s="36"/>
      <c r="HQ193" s="36"/>
      <c r="HR193" s="36"/>
      <c r="HS193" s="36"/>
      <c r="HT193" s="36"/>
      <c r="HU193" s="36"/>
      <c r="HV193" s="36"/>
      <c r="HW193" s="36"/>
      <c r="HX193" s="36"/>
      <c r="HY193" s="36"/>
      <c r="HZ193" s="36"/>
      <c r="IA193" s="36"/>
      <c r="IB193" s="36"/>
      <c r="IC193" s="36"/>
      <c r="ID193" s="36"/>
      <c r="IE193" s="36"/>
      <c r="IF193" s="36"/>
      <c r="IG193" s="36"/>
      <c r="IH193" s="36"/>
      <c r="II193" s="36"/>
      <c r="IJ193" s="36"/>
      <c r="IK193" s="36"/>
      <c r="IL193" s="36"/>
      <c r="IM193" s="36"/>
      <c r="IN193" s="36"/>
      <c r="IO193" s="36"/>
      <c r="IP193" s="36"/>
      <c r="IQ193" s="36"/>
      <c r="IR193" s="36"/>
      <c r="IS193" s="36"/>
      <c r="IT193" s="36"/>
      <c r="IU193" s="36"/>
      <c r="IV193" s="36"/>
    </row>
    <row r="194" spans="1:256" s="35" customFormat="1" ht="15">
      <c r="A194" s="36"/>
      <c r="B194" s="141"/>
      <c r="C194" s="36"/>
      <c r="D194" s="36"/>
      <c r="E194" s="36"/>
      <c r="F194" s="36"/>
      <c r="G194" s="36"/>
      <c r="H194" s="36"/>
      <c r="I194" s="36"/>
      <c r="J194" s="36"/>
      <c r="FW194" s="36"/>
      <c r="FX194" s="36"/>
      <c r="FY194" s="36"/>
      <c r="FZ194" s="36"/>
      <c r="GA194" s="36"/>
      <c r="GB194" s="36"/>
      <c r="GC194" s="36"/>
      <c r="GD194" s="36"/>
      <c r="GE194" s="36"/>
      <c r="GF194" s="36"/>
      <c r="GG194" s="36"/>
      <c r="GH194" s="36"/>
      <c r="GI194" s="36"/>
      <c r="GJ194" s="36"/>
      <c r="GK194" s="36"/>
      <c r="GL194" s="36"/>
      <c r="GM194" s="36"/>
      <c r="GN194" s="36"/>
      <c r="GO194" s="36"/>
      <c r="GP194" s="36"/>
      <c r="GQ194" s="36"/>
      <c r="GR194" s="36"/>
      <c r="GS194" s="36"/>
      <c r="GT194" s="36"/>
      <c r="GU194" s="36"/>
      <c r="GV194" s="36"/>
      <c r="GW194" s="36"/>
      <c r="GX194" s="36"/>
      <c r="GY194" s="36"/>
      <c r="GZ194" s="36"/>
      <c r="HA194" s="36"/>
      <c r="HB194" s="36"/>
      <c r="HC194" s="36"/>
      <c r="HD194" s="36"/>
      <c r="HE194" s="36"/>
      <c r="HF194" s="36"/>
      <c r="HG194" s="36"/>
      <c r="HH194" s="36"/>
      <c r="HI194" s="36"/>
      <c r="HJ194" s="36"/>
      <c r="HK194" s="36"/>
      <c r="HL194" s="36"/>
      <c r="HM194" s="36"/>
      <c r="HN194" s="36"/>
      <c r="HO194" s="36"/>
      <c r="HP194" s="36"/>
      <c r="HQ194" s="36"/>
      <c r="HR194" s="36"/>
      <c r="HS194" s="36"/>
      <c r="HT194" s="36"/>
      <c r="HU194" s="36"/>
      <c r="HV194" s="36"/>
      <c r="HW194" s="36"/>
      <c r="HX194" s="36"/>
      <c r="HY194" s="36"/>
      <c r="HZ194" s="36"/>
      <c r="IA194" s="36"/>
      <c r="IB194" s="36"/>
      <c r="IC194" s="36"/>
      <c r="ID194" s="36"/>
      <c r="IE194" s="36"/>
      <c r="IF194" s="36"/>
      <c r="IG194" s="36"/>
      <c r="IH194" s="36"/>
      <c r="II194" s="36"/>
      <c r="IJ194" s="36"/>
      <c r="IK194" s="36"/>
      <c r="IL194" s="36"/>
      <c r="IM194" s="36"/>
      <c r="IN194" s="36"/>
      <c r="IO194" s="36"/>
      <c r="IP194" s="36"/>
      <c r="IQ194" s="36"/>
      <c r="IR194" s="36"/>
      <c r="IS194" s="36"/>
      <c r="IT194" s="36"/>
      <c r="IU194" s="36"/>
      <c r="IV194" s="36"/>
    </row>
    <row r="195" spans="1:256" s="35" customFormat="1" ht="15">
      <c r="A195" s="36"/>
      <c r="B195" s="141"/>
      <c r="C195" s="36"/>
      <c r="D195" s="36"/>
      <c r="E195" s="36"/>
      <c r="F195" s="36"/>
      <c r="G195" s="36"/>
      <c r="H195" s="36"/>
      <c r="I195" s="36"/>
      <c r="J195" s="36"/>
      <c r="FW195" s="36"/>
      <c r="FX195" s="36"/>
      <c r="FY195" s="36"/>
      <c r="FZ195" s="36"/>
      <c r="GA195" s="36"/>
      <c r="GB195" s="36"/>
      <c r="GC195" s="36"/>
      <c r="GD195" s="36"/>
      <c r="GE195" s="36"/>
      <c r="GF195" s="36"/>
      <c r="GG195" s="36"/>
      <c r="GH195" s="36"/>
      <c r="GI195" s="36"/>
      <c r="GJ195" s="36"/>
      <c r="GK195" s="36"/>
      <c r="GL195" s="36"/>
      <c r="GM195" s="36"/>
      <c r="GN195" s="36"/>
      <c r="GO195" s="36"/>
      <c r="GP195" s="36"/>
      <c r="GQ195" s="36"/>
      <c r="GR195" s="36"/>
      <c r="GS195" s="36"/>
      <c r="GT195" s="36"/>
      <c r="GU195" s="36"/>
      <c r="GV195" s="36"/>
      <c r="GW195" s="36"/>
      <c r="GX195" s="36"/>
      <c r="GY195" s="36"/>
      <c r="GZ195" s="36"/>
      <c r="HA195" s="36"/>
      <c r="HB195" s="36"/>
      <c r="HC195" s="36"/>
      <c r="HD195" s="36"/>
      <c r="HE195" s="36"/>
      <c r="HF195" s="36"/>
      <c r="HG195" s="36"/>
      <c r="HH195" s="36"/>
      <c r="HI195" s="36"/>
      <c r="HJ195" s="36"/>
      <c r="HK195" s="36"/>
      <c r="HL195" s="36"/>
      <c r="HM195" s="36"/>
      <c r="HN195" s="36"/>
      <c r="HO195" s="36"/>
      <c r="HP195" s="36"/>
      <c r="HQ195" s="36"/>
      <c r="HR195" s="36"/>
      <c r="HS195" s="36"/>
      <c r="HT195" s="36"/>
      <c r="HU195" s="36"/>
      <c r="HV195" s="36"/>
      <c r="HW195" s="36"/>
      <c r="HX195" s="36"/>
      <c r="HY195" s="36"/>
      <c r="HZ195" s="36"/>
      <c r="IA195" s="36"/>
      <c r="IB195" s="36"/>
      <c r="IC195" s="36"/>
      <c r="ID195" s="36"/>
      <c r="IE195" s="36"/>
      <c r="IF195" s="36"/>
      <c r="IG195" s="36"/>
      <c r="IH195" s="36"/>
      <c r="II195" s="36"/>
      <c r="IJ195" s="36"/>
      <c r="IK195" s="36"/>
      <c r="IL195" s="36"/>
      <c r="IM195" s="36"/>
      <c r="IN195" s="36"/>
      <c r="IO195" s="36"/>
      <c r="IP195" s="36"/>
      <c r="IQ195" s="36"/>
      <c r="IR195" s="36"/>
      <c r="IS195" s="36"/>
      <c r="IT195" s="36"/>
      <c r="IU195" s="36"/>
      <c r="IV195" s="36"/>
    </row>
    <row r="196" spans="1:256" s="35" customFormat="1" ht="15">
      <c r="A196" s="36"/>
      <c r="B196" s="141"/>
      <c r="C196" s="36"/>
      <c r="D196" s="36"/>
      <c r="E196" s="36"/>
      <c r="F196" s="36"/>
      <c r="G196" s="36"/>
      <c r="H196" s="36"/>
      <c r="I196" s="36"/>
      <c r="J196" s="36"/>
      <c r="FW196" s="36"/>
      <c r="FX196" s="36"/>
      <c r="FY196" s="36"/>
      <c r="FZ196" s="36"/>
      <c r="GA196" s="36"/>
      <c r="GB196" s="36"/>
      <c r="GC196" s="36"/>
      <c r="GD196" s="36"/>
      <c r="GE196" s="36"/>
      <c r="GF196" s="36"/>
      <c r="GG196" s="36"/>
      <c r="GH196" s="36"/>
      <c r="GI196" s="36"/>
      <c r="GJ196" s="36"/>
      <c r="GK196" s="36"/>
      <c r="GL196" s="36"/>
      <c r="GM196" s="36"/>
      <c r="GN196" s="36"/>
      <c r="GO196" s="36"/>
      <c r="GP196" s="36"/>
      <c r="GQ196" s="36"/>
      <c r="GR196" s="36"/>
      <c r="GS196" s="36"/>
      <c r="GT196" s="36"/>
      <c r="GU196" s="36"/>
      <c r="GV196" s="36"/>
      <c r="GW196" s="36"/>
      <c r="GX196" s="36"/>
      <c r="GY196" s="36"/>
      <c r="GZ196" s="36"/>
      <c r="HA196" s="36"/>
      <c r="HB196" s="36"/>
      <c r="HC196" s="36"/>
      <c r="HD196" s="36"/>
      <c r="HE196" s="36"/>
      <c r="HF196" s="36"/>
      <c r="HG196" s="36"/>
      <c r="HH196" s="36"/>
      <c r="HI196" s="36"/>
      <c r="HJ196" s="36"/>
      <c r="HK196" s="36"/>
      <c r="HL196" s="36"/>
      <c r="HM196" s="36"/>
      <c r="HN196" s="36"/>
      <c r="HO196" s="36"/>
      <c r="HP196" s="36"/>
      <c r="HQ196" s="36"/>
      <c r="HR196" s="36"/>
      <c r="HS196" s="36"/>
      <c r="HT196" s="36"/>
      <c r="HU196" s="36"/>
      <c r="HV196" s="36"/>
      <c r="HW196" s="36"/>
      <c r="HX196" s="36"/>
      <c r="HY196" s="36"/>
      <c r="HZ196" s="36"/>
      <c r="IA196" s="36"/>
      <c r="IB196" s="36"/>
      <c r="IC196" s="36"/>
      <c r="ID196" s="36"/>
      <c r="IE196" s="36"/>
      <c r="IF196" s="36"/>
      <c r="IG196" s="36"/>
      <c r="IH196" s="36"/>
      <c r="II196" s="36"/>
      <c r="IJ196" s="36"/>
      <c r="IK196" s="36"/>
      <c r="IL196" s="36"/>
      <c r="IM196" s="36"/>
      <c r="IN196" s="36"/>
      <c r="IO196" s="36"/>
      <c r="IP196" s="36"/>
      <c r="IQ196" s="36"/>
      <c r="IR196" s="36"/>
      <c r="IS196" s="36"/>
      <c r="IT196" s="36"/>
      <c r="IU196" s="36"/>
      <c r="IV196" s="36"/>
    </row>
    <row r="197" spans="1:256" s="35" customFormat="1" ht="15">
      <c r="A197" s="36"/>
      <c r="B197" s="141"/>
      <c r="C197" s="36"/>
      <c r="D197" s="36"/>
      <c r="E197" s="36"/>
      <c r="F197" s="36"/>
      <c r="G197" s="36"/>
      <c r="H197" s="36"/>
      <c r="I197" s="36"/>
      <c r="J197" s="36"/>
      <c r="FW197" s="36"/>
      <c r="FX197" s="36"/>
      <c r="FY197" s="36"/>
      <c r="FZ197" s="36"/>
      <c r="GA197" s="36"/>
      <c r="GB197" s="36"/>
      <c r="GC197" s="36"/>
      <c r="GD197" s="36"/>
      <c r="GE197" s="36"/>
      <c r="GF197" s="36"/>
      <c r="GG197" s="36"/>
      <c r="GH197" s="36"/>
      <c r="GI197" s="36"/>
      <c r="GJ197" s="36"/>
      <c r="GK197" s="36"/>
      <c r="GL197" s="36"/>
      <c r="GM197" s="36"/>
      <c r="GN197" s="36"/>
      <c r="GO197" s="36"/>
      <c r="GP197" s="36"/>
      <c r="GQ197" s="36"/>
      <c r="GR197" s="36"/>
      <c r="GS197" s="36"/>
      <c r="GT197" s="36"/>
      <c r="GU197" s="36"/>
      <c r="GV197" s="36"/>
      <c r="GW197" s="36"/>
      <c r="GX197" s="36"/>
      <c r="GY197" s="36"/>
      <c r="GZ197" s="36"/>
      <c r="HA197" s="36"/>
      <c r="HB197" s="36"/>
      <c r="HC197" s="36"/>
      <c r="HD197" s="36"/>
      <c r="HE197" s="36"/>
      <c r="HF197" s="36"/>
      <c r="HG197" s="36"/>
      <c r="HH197" s="36"/>
      <c r="HI197" s="36"/>
      <c r="HJ197" s="36"/>
      <c r="HK197" s="36"/>
      <c r="HL197" s="36"/>
      <c r="HM197" s="36"/>
      <c r="HN197" s="36"/>
      <c r="HO197" s="36"/>
      <c r="HP197" s="36"/>
      <c r="HQ197" s="36"/>
      <c r="HR197" s="36"/>
      <c r="HS197" s="36"/>
      <c r="HT197" s="36"/>
      <c r="HU197" s="36"/>
      <c r="HV197" s="36"/>
      <c r="HW197" s="36"/>
      <c r="HX197" s="36"/>
      <c r="HY197" s="36"/>
      <c r="HZ197" s="36"/>
      <c r="IA197" s="36"/>
      <c r="IB197" s="36"/>
      <c r="IC197" s="36"/>
      <c r="ID197" s="36"/>
      <c r="IE197" s="36"/>
      <c r="IF197" s="36"/>
      <c r="IG197" s="36"/>
      <c r="IH197" s="36"/>
      <c r="II197" s="36"/>
      <c r="IJ197" s="36"/>
      <c r="IK197" s="36"/>
      <c r="IL197" s="36"/>
      <c r="IM197" s="36"/>
      <c r="IN197" s="36"/>
      <c r="IO197" s="36"/>
      <c r="IP197" s="36"/>
      <c r="IQ197" s="36"/>
      <c r="IR197" s="36"/>
      <c r="IS197" s="36"/>
      <c r="IT197" s="36"/>
      <c r="IU197" s="36"/>
      <c r="IV197" s="36"/>
    </row>
    <row r="198" spans="1:256" s="35" customFormat="1" ht="15">
      <c r="A198" s="36"/>
      <c r="B198" s="141"/>
      <c r="C198" s="36"/>
      <c r="D198" s="36"/>
      <c r="E198" s="36"/>
      <c r="F198" s="36"/>
      <c r="G198" s="36"/>
      <c r="H198" s="36"/>
      <c r="I198" s="36"/>
      <c r="J198" s="36"/>
      <c r="FW198" s="36"/>
      <c r="FX198" s="36"/>
      <c r="FY198" s="36"/>
      <c r="FZ198" s="36"/>
      <c r="GA198" s="36"/>
      <c r="GB198" s="36"/>
      <c r="GC198" s="36"/>
      <c r="GD198" s="36"/>
      <c r="GE198" s="36"/>
      <c r="GF198" s="36"/>
      <c r="GG198" s="36"/>
      <c r="GH198" s="36"/>
      <c r="GI198" s="36"/>
      <c r="GJ198" s="36"/>
      <c r="GK198" s="36"/>
      <c r="GL198" s="36"/>
      <c r="GM198" s="36"/>
      <c r="GN198" s="36"/>
      <c r="GO198" s="36"/>
      <c r="GP198" s="36"/>
      <c r="GQ198" s="36"/>
      <c r="GR198" s="36"/>
      <c r="GS198" s="36"/>
      <c r="GT198" s="36"/>
      <c r="GU198" s="36"/>
      <c r="GV198" s="36"/>
      <c r="GW198" s="36"/>
      <c r="GX198" s="36"/>
      <c r="GY198" s="36"/>
      <c r="GZ198" s="36"/>
      <c r="HA198" s="36"/>
      <c r="HB198" s="36"/>
      <c r="HC198" s="36"/>
      <c r="HD198" s="36"/>
      <c r="HE198" s="36"/>
      <c r="HF198" s="36"/>
      <c r="HG198" s="36"/>
      <c r="HH198" s="36"/>
      <c r="HI198" s="36"/>
      <c r="HJ198" s="36"/>
      <c r="HK198" s="36"/>
      <c r="HL198" s="36"/>
      <c r="HM198" s="36"/>
      <c r="HN198" s="36"/>
      <c r="HO198" s="36"/>
      <c r="HP198" s="36"/>
      <c r="HQ198" s="36"/>
      <c r="HR198" s="36"/>
      <c r="HS198" s="36"/>
      <c r="HT198" s="36"/>
      <c r="HU198" s="36"/>
      <c r="HV198" s="36"/>
      <c r="HW198" s="36"/>
      <c r="HX198" s="36"/>
      <c r="HY198" s="36"/>
      <c r="HZ198" s="36"/>
      <c r="IA198" s="36"/>
      <c r="IB198" s="36"/>
      <c r="IC198" s="36"/>
      <c r="ID198" s="36"/>
      <c r="IE198" s="36"/>
      <c r="IF198" s="36"/>
      <c r="IG198" s="36"/>
      <c r="IH198" s="36"/>
      <c r="II198" s="36"/>
      <c r="IJ198" s="36"/>
      <c r="IK198" s="36"/>
      <c r="IL198" s="36"/>
      <c r="IM198" s="36"/>
      <c r="IN198" s="36"/>
      <c r="IO198" s="36"/>
      <c r="IP198" s="36"/>
      <c r="IQ198" s="36"/>
      <c r="IR198" s="36"/>
      <c r="IS198" s="36"/>
      <c r="IT198" s="36"/>
      <c r="IU198" s="36"/>
      <c r="IV198" s="36"/>
    </row>
    <row r="199" spans="1:256" s="35" customFormat="1" ht="15">
      <c r="A199" s="36"/>
      <c r="B199" s="141"/>
      <c r="C199" s="36"/>
      <c r="D199" s="36"/>
      <c r="E199" s="36"/>
      <c r="F199" s="36"/>
      <c r="G199" s="36"/>
      <c r="H199" s="36"/>
      <c r="I199" s="36"/>
      <c r="J199" s="36"/>
      <c r="FW199" s="36"/>
      <c r="FX199" s="36"/>
      <c r="FY199" s="36"/>
      <c r="FZ199" s="36"/>
      <c r="GA199" s="36"/>
      <c r="GB199" s="36"/>
      <c r="GC199" s="36"/>
      <c r="GD199" s="36"/>
      <c r="GE199" s="36"/>
      <c r="GF199" s="36"/>
      <c r="GG199" s="36"/>
      <c r="GH199" s="36"/>
      <c r="GI199" s="36"/>
      <c r="GJ199" s="36"/>
      <c r="GK199" s="36"/>
      <c r="GL199" s="36"/>
      <c r="GM199" s="36"/>
      <c r="GN199" s="36"/>
      <c r="GO199" s="36"/>
      <c r="GP199" s="36"/>
      <c r="GQ199" s="36"/>
      <c r="GR199" s="36"/>
      <c r="GS199" s="36"/>
      <c r="GT199" s="36"/>
      <c r="GU199" s="36"/>
      <c r="GV199" s="36"/>
      <c r="GW199" s="36"/>
      <c r="GX199" s="36"/>
      <c r="GY199" s="36"/>
      <c r="GZ199" s="36"/>
      <c r="HA199" s="36"/>
      <c r="HB199" s="36"/>
      <c r="HC199" s="36"/>
      <c r="HD199" s="36"/>
      <c r="HE199" s="36"/>
      <c r="HF199" s="36"/>
      <c r="HG199" s="36"/>
      <c r="HH199" s="36"/>
      <c r="HI199" s="36"/>
      <c r="HJ199" s="36"/>
      <c r="HK199" s="36"/>
      <c r="HL199" s="36"/>
      <c r="HM199" s="36"/>
      <c r="HN199" s="36"/>
      <c r="HO199" s="36"/>
      <c r="HP199" s="36"/>
      <c r="HQ199" s="36"/>
      <c r="HR199" s="36"/>
      <c r="HS199" s="36"/>
      <c r="HT199" s="36"/>
      <c r="HU199" s="36"/>
      <c r="HV199" s="36"/>
      <c r="HW199" s="36"/>
      <c r="HX199" s="36"/>
      <c r="HY199" s="36"/>
      <c r="HZ199" s="36"/>
      <c r="IA199" s="36"/>
      <c r="IB199" s="36"/>
      <c r="IC199" s="36"/>
      <c r="ID199" s="36"/>
      <c r="IE199" s="36"/>
      <c r="IF199" s="36"/>
      <c r="IG199" s="36"/>
      <c r="IH199" s="36"/>
      <c r="II199" s="36"/>
      <c r="IJ199" s="36"/>
      <c r="IK199" s="36"/>
      <c r="IL199" s="36"/>
      <c r="IM199" s="36"/>
      <c r="IN199" s="36"/>
      <c r="IO199" s="36"/>
      <c r="IP199" s="36"/>
      <c r="IQ199" s="36"/>
      <c r="IR199" s="36"/>
      <c r="IS199" s="36"/>
      <c r="IT199" s="36"/>
      <c r="IU199" s="36"/>
      <c r="IV199" s="36"/>
    </row>
    <row r="200" spans="1:256" s="35" customFormat="1" ht="15">
      <c r="A200" s="36"/>
      <c r="B200" s="141"/>
      <c r="C200" s="36"/>
      <c r="D200" s="36"/>
      <c r="E200" s="36"/>
      <c r="F200" s="36"/>
      <c r="G200" s="36"/>
      <c r="H200" s="36"/>
      <c r="I200" s="36"/>
      <c r="J200" s="36"/>
      <c r="FW200" s="36"/>
      <c r="FX200" s="36"/>
      <c r="FY200" s="36"/>
      <c r="FZ200" s="36"/>
      <c r="GA200" s="36"/>
      <c r="GB200" s="36"/>
      <c r="GC200" s="36"/>
      <c r="GD200" s="36"/>
      <c r="GE200" s="36"/>
      <c r="GF200" s="36"/>
      <c r="GG200" s="36"/>
      <c r="GH200" s="36"/>
      <c r="GI200" s="36"/>
      <c r="GJ200" s="36"/>
      <c r="GK200" s="36"/>
      <c r="GL200" s="36"/>
      <c r="GM200" s="36"/>
      <c r="GN200" s="36"/>
      <c r="GO200" s="36"/>
      <c r="GP200" s="36"/>
      <c r="GQ200" s="36"/>
      <c r="GR200" s="36"/>
      <c r="GS200" s="36"/>
      <c r="GT200" s="36"/>
      <c r="GU200" s="36"/>
      <c r="GV200" s="36"/>
      <c r="GW200" s="36"/>
      <c r="GX200" s="36"/>
      <c r="GY200" s="36"/>
      <c r="GZ200" s="36"/>
      <c r="HA200" s="36"/>
      <c r="HB200" s="36"/>
      <c r="HC200" s="36"/>
      <c r="HD200" s="36"/>
      <c r="HE200" s="36"/>
      <c r="HF200" s="36"/>
      <c r="HG200" s="36"/>
      <c r="HH200" s="36"/>
      <c r="HI200" s="36"/>
      <c r="HJ200" s="36"/>
      <c r="HK200" s="36"/>
      <c r="HL200" s="36"/>
      <c r="HM200" s="36"/>
      <c r="HN200" s="36"/>
      <c r="HO200" s="36"/>
      <c r="HP200" s="36"/>
      <c r="HQ200" s="36"/>
      <c r="HR200" s="36"/>
      <c r="HS200" s="36"/>
      <c r="HT200" s="36"/>
      <c r="HU200" s="36"/>
      <c r="HV200" s="36"/>
      <c r="HW200" s="36"/>
      <c r="HX200" s="36"/>
      <c r="HY200" s="36"/>
      <c r="HZ200" s="36"/>
      <c r="IA200" s="36"/>
      <c r="IB200" s="36"/>
      <c r="IC200" s="36"/>
      <c r="ID200" s="36"/>
      <c r="IE200" s="36"/>
      <c r="IF200" s="36"/>
      <c r="IG200" s="36"/>
      <c r="IH200" s="36"/>
      <c r="II200" s="36"/>
      <c r="IJ200" s="36"/>
      <c r="IK200" s="36"/>
      <c r="IL200" s="36"/>
      <c r="IM200" s="36"/>
      <c r="IN200" s="36"/>
      <c r="IO200" s="36"/>
      <c r="IP200" s="36"/>
      <c r="IQ200" s="36"/>
      <c r="IR200" s="36"/>
      <c r="IS200" s="36"/>
      <c r="IT200" s="36"/>
      <c r="IU200" s="36"/>
      <c r="IV200" s="36"/>
    </row>
    <row r="201" spans="1:256" s="35" customFormat="1" ht="15">
      <c r="A201" s="36"/>
      <c r="B201" s="141"/>
      <c r="C201" s="36"/>
      <c r="D201" s="36"/>
      <c r="E201" s="36"/>
      <c r="F201" s="36"/>
      <c r="G201" s="36"/>
      <c r="H201" s="36"/>
      <c r="I201" s="36"/>
      <c r="J201" s="36"/>
      <c r="FW201" s="36"/>
      <c r="FX201" s="36"/>
      <c r="FY201" s="36"/>
      <c r="FZ201" s="36"/>
      <c r="GA201" s="36"/>
      <c r="GB201" s="36"/>
      <c r="GC201" s="36"/>
      <c r="GD201" s="36"/>
      <c r="GE201" s="36"/>
      <c r="GF201" s="36"/>
      <c r="GG201" s="36"/>
      <c r="GH201" s="36"/>
      <c r="GI201" s="36"/>
      <c r="GJ201" s="36"/>
      <c r="GK201" s="36"/>
      <c r="GL201" s="36"/>
      <c r="GM201" s="36"/>
      <c r="GN201" s="36"/>
      <c r="GO201" s="36"/>
      <c r="GP201" s="36"/>
      <c r="GQ201" s="36"/>
      <c r="GR201" s="36"/>
      <c r="GS201" s="36"/>
      <c r="GT201" s="36"/>
      <c r="GU201" s="36"/>
      <c r="GV201" s="36"/>
      <c r="GW201" s="36"/>
      <c r="GX201" s="36"/>
      <c r="GY201" s="36"/>
      <c r="GZ201" s="36"/>
      <c r="HA201" s="36"/>
      <c r="HB201" s="36"/>
      <c r="HC201" s="36"/>
      <c r="HD201" s="36"/>
      <c r="HE201" s="36"/>
      <c r="HF201" s="36"/>
      <c r="HG201" s="36"/>
      <c r="HH201" s="36"/>
      <c r="HI201" s="36"/>
      <c r="HJ201" s="36"/>
      <c r="HK201" s="36"/>
      <c r="HL201" s="36"/>
      <c r="HM201" s="36"/>
      <c r="HN201" s="36"/>
      <c r="HO201" s="36"/>
      <c r="HP201" s="36"/>
      <c r="HQ201" s="36"/>
      <c r="HR201" s="36"/>
      <c r="HS201" s="36"/>
      <c r="HT201" s="36"/>
      <c r="HU201" s="36"/>
      <c r="HV201" s="36"/>
      <c r="HW201" s="36"/>
      <c r="HX201" s="36"/>
      <c r="HY201" s="36"/>
      <c r="HZ201" s="36"/>
      <c r="IA201" s="36"/>
      <c r="IB201" s="36"/>
      <c r="IC201" s="36"/>
      <c r="ID201" s="36"/>
      <c r="IE201" s="36"/>
      <c r="IF201" s="36"/>
      <c r="IG201" s="36"/>
      <c r="IH201" s="36"/>
      <c r="II201" s="36"/>
      <c r="IJ201" s="36"/>
      <c r="IK201" s="36"/>
      <c r="IL201" s="36"/>
      <c r="IM201" s="36"/>
      <c r="IN201" s="36"/>
      <c r="IO201" s="36"/>
      <c r="IP201" s="36"/>
      <c r="IQ201" s="36"/>
      <c r="IR201" s="36"/>
      <c r="IS201" s="36"/>
      <c r="IT201" s="36"/>
      <c r="IU201" s="36"/>
      <c r="IV201" s="36"/>
    </row>
    <row r="202" spans="1:256" s="35" customFormat="1" ht="15">
      <c r="A202" s="36"/>
      <c r="B202" s="141"/>
      <c r="C202" s="36"/>
      <c r="D202" s="36"/>
      <c r="E202" s="36"/>
      <c r="F202" s="36"/>
      <c r="G202" s="36"/>
      <c r="H202" s="36"/>
      <c r="I202" s="36"/>
      <c r="J202" s="36"/>
      <c r="FW202" s="36"/>
      <c r="FX202" s="36"/>
      <c r="FY202" s="36"/>
      <c r="FZ202" s="36"/>
      <c r="GA202" s="36"/>
      <c r="GB202" s="36"/>
      <c r="GC202" s="36"/>
      <c r="GD202" s="36"/>
      <c r="GE202" s="36"/>
      <c r="GF202" s="36"/>
      <c r="GG202" s="36"/>
      <c r="GH202" s="36"/>
      <c r="GI202" s="36"/>
      <c r="GJ202" s="36"/>
      <c r="GK202" s="36"/>
      <c r="GL202" s="36"/>
      <c r="GM202" s="36"/>
      <c r="GN202" s="36"/>
      <c r="GO202" s="36"/>
      <c r="GP202" s="36"/>
      <c r="GQ202" s="36"/>
      <c r="GR202" s="36"/>
      <c r="GS202" s="36"/>
      <c r="GT202" s="36"/>
      <c r="GU202" s="36"/>
      <c r="GV202" s="36"/>
      <c r="GW202" s="36"/>
      <c r="GX202" s="36"/>
      <c r="GY202" s="36"/>
      <c r="GZ202" s="36"/>
      <c r="HA202" s="36"/>
      <c r="HB202" s="36"/>
      <c r="HC202" s="36"/>
      <c r="HD202" s="36"/>
      <c r="HE202" s="36"/>
      <c r="HF202" s="36"/>
      <c r="HG202" s="36"/>
      <c r="HH202" s="36"/>
      <c r="HI202" s="36"/>
      <c r="HJ202" s="36"/>
      <c r="HK202" s="36"/>
      <c r="HL202" s="36"/>
      <c r="HM202" s="36"/>
      <c r="HN202" s="36"/>
      <c r="HO202" s="36"/>
      <c r="HP202" s="36"/>
      <c r="HQ202" s="36"/>
      <c r="HR202" s="36"/>
      <c r="HS202" s="36"/>
      <c r="HT202" s="36"/>
      <c r="HU202" s="36"/>
      <c r="HV202" s="36"/>
      <c r="HW202" s="36"/>
      <c r="HX202" s="36"/>
      <c r="HY202" s="36"/>
      <c r="HZ202" s="36"/>
      <c r="IA202" s="36"/>
      <c r="IB202" s="36"/>
      <c r="IC202" s="36"/>
      <c r="ID202" s="36"/>
      <c r="IE202" s="36"/>
      <c r="IF202" s="36"/>
      <c r="IG202" s="36"/>
      <c r="IH202" s="36"/>
      <c r="II202" s="36"/>
      <c r="IJ202" s="36"/>
      <c r="IK202" s="36"/>
      <c r="IL202" s="36"/>
      <c r="IM202" s="36"/>
      <c r="IN202" s="36"/>
      <c r="IO202" s="36"/>
      <c r="IP202" s="36"/>
      <c r="IQ202" s="36"/>
      <c r="IR202" s="36"/>
      <c r="IS202" s="36"/>
      <c r="IT202" s="36"/>
      <c r="IU202" s="36"/>
      <c r="IV202" s="36"/>
    </row>
    <row r="203" spans="1:256" s="35" customFormat="1" ht="15">
      <c r="A203" s="36"/>
      <c r="B203" s="141"/>
      <c r="C203" s="36"/>
      <c r="D203" s="36"/>
      <c r="E203" s="36"/>
      <c r="F203" s="36"/>
      <c r="G203" s="36"/>
      <c r="H203" s="36"/>
      <c r="I203" s="36"/>
      <c r="J203" s="36"/>
      <c r="FW203" s="36"/>
      <c r="FX203" s="36"/>
      <c r="FY203" s="36"/>
      <c r="FZ203" s="36"/>
      <c r="GA203" s="36"/>
      <c r="GB203" s="36"/>
      <c r="GC203" s="36"/>
      <c r="GD203" s="36"/>
      <c r="GE203" s="36"/>
      <c r="GF203" s="36"/>
      <c r="GG203" s="36"/>
      <c r="GH203" s="36"/>
      <c r="GI203" s="36"/>
      <c r="GJ203" s="36"/>
      <c r="GK203" s="36"/>
      <c r="GL203" s="36"/>
      <c r="GM203" s="36"/>
      <c r="GN203" s="36"/>
      <c r="GO203" s="36"/>
      <c r="GP203" s="36"/>
      <c r="GQ203" s="36"/>
      <c r="GR203" s="36"/>
      <c r="GS203" s="36"/>
      <c r="GT203" s="36"/>
      <c r="GU203" s="36"/>
      <c r="GV203" s="36"/>
      <c r="GW203" s="36"/>
      <c r="GX203" s="36"/>
      <c r="GY203" s="36"/>
      <c r="GZ203" s="36"/>
      <c r="HA203" s="36"/>
      <c r="HB203" s="36"/>
      <c r="HC203" s="36"/>
      <c r="HD203" s="36"/>
      <c r="HE203" s="36"/>
      <c r="HF203" s="36"/>
      <c r="HG203" s="36"/>
      <c r="HH203" s="36"/>
      <c r="HI203" s="36"/>
      <c r="HJ203" s="36"/>
      <c r="HK203" s="36"/>
      <c r="HL203" s="36"/>
      <c r="HM203" s="36"/>
      <c r="HN203" s="36"/>
      <c r="HO203" s="36"/>
      <c r="HP203" s="36"/>
      <c r="HQ203" s="36"/>
      <c r="HR203" s="36"/>
      <c r="HS203" s="36"/>
      <c r="HT203" s="36"/>
      <c r="HU203" s="36"/>
      <c r="HV203" s="36"/>
      <c r="HW203" s="36"/>
      <c r="HX203" s="36"/>
      <c r="HY203" s="36"/>
      <c r="HZ203" s="36"/>
      <c r="IA203" s="36"/>
      <c r="IB203" s="36"/>
      <c r="IC203" s="36"/>
      <c r="ID203" s="36"/>
      <c r="IE203" s="36"/>
      <c r="IF203" s="36"/>
      <c r="IG203" s="36"/>
      <c r="IH203" s="36"/>
      <c r="II203" s="36"/>
      <c r="IJ203" s="36"/>
      <c r="IK203" s="36"/>
      <c r="IL203" s="36"/>
      <c r="IM203" s="36"/>
      <c r="IN203" s="36"/>
      <c r="IO203" s="36"/>
      <c r="IP203" s="36"/>
      <c r="IQ203" s="36"/>
      <c r="IR203" s="36"/>
      <c r="IS203" s="36"/>
      <c r="IT203" s="36"/>
      <c r="IU203" s="36"/>
      <c r="IV203" s="36"/>
    </row>
    <row r="204" spans="1:256" s="35" customFormat="1" ht="15">
      <c r="A204" s="36"/>
      <c r="B204" s="141"/>
      <c r="C204" s="36"/>
      <c r="D204" s="36"/>
      <c r="E204" s="36"/>
      <c r="F204" s="36"/>
      <c r="G204" s="36"/>
      <c r="H204" s="36"/>
      <c r="I204" s="36"/>
      <c r="J204" s="36"/>
      <c r="FW204" s="36"/>
      <c r="FX204" s="36"/>
      <c r="FY204" s="36"/>
      <c r="FZ204" s="36"/>
      <c r="GA204" s="36"/>
      <c r="GB204" s="36"/>
      <c r="GC204" s="36"/>
      <c r="GD204" s="36"/>
      <c r="GE204" s="36"/>
      <c r="GF204" s="36"/>
      <c r="GG204" s="36"/>
      <c r="GH204" s="36"/>
      <c r="GI204" s="36"/>
      <c r="GJ204" s="36"/>
      <c r="GK204" s="36"/>
      <c r="GL204" s="36"/>
      <c r="GM204" s="36"/>
      <c r="GN204" s="36"/>
      <c r="GO204" s="36"/>
      <c r="GP204" s="36"/>
      <c r="GQ204" s="36"/>
      <c r="GR204" s="36"/>
      <c r="GS204" s="36"/>
      <c r="GT204" s="36"/>
      <c r="GU204" s="36"/>
      <c r="GV204" s="36"/>
      <c r="GW204" s="36"/>
      <c r="GX204" s="36"/>
      <c r="GY204" s="36"/>
      <c r="GZ204" s="36"/>
      <c r="HA204" s="36"/>
      <c r="HB204" s="36"/>
      <c r="HC204" s="36"/>
      <c r="HD204" s="36"/>
      <c r="HE204" s="36"/>
      <c r="HF204" s="36"/>
      <c r="HG204" s="36"/>
      <c r="HH204" s="36"/>
      <c r="HI204" s="36"/>
      <c r="HJ204" s="36"/>
      <c r="HK204" s="36"/>
      <c r="HL204" s="36"/>
      <c r="HM204" s="36"/>
      <c r="HN204" s="36"/>
      <c r="HO204" s="36"/>
      <c r="HP204" s="36"/>
      <c r="HQ204" s="36"/>
      <c r="HR204" s="36"/>
      <c r="HS204" s="36"/>
      <c r="HT204" s="36"/>
      <c r="HU204" s="36"/>
      <c r="HV204" s="36"/>
      <c r="HW204" s="36"/>
      <c r="HX204" s="36"/>
      <c r="HY204" s="36"/>
      <c r="HZ204" s="36"/>
      <c r="IA204" s="36"/>
      <c r="IB204" s="36"/>
      <c r="IC204" s="36"/>
      <c r="ID204" s="36"/>
      <c r="IE204" s="36"/>
      <c r="IF204" s="36"/>
      <c r="IG204" s="36"/>
      <c r="IH204" s="36"/>
      <c r="II204" s="36"/>
      <c r="IJ204" s="36"/>
      <c r="IK204" s="36"/>
      <c r="IL204" s="36"/>
      <c r="IM204" s="36"/>
      <c r="IN204" s="36"/>
      <c r="IO204" s="36"/>
      <c r="IP204" s="36"/>
      <c r="IQ204" s="36"/>
      <c r="IR204" s="36"/>
      <c r="IS204" s="36"/>
      <c r="IT204" s="36"/>
      <c r="IU204" s="36"/>
      <c r="IV204" s="36"/>
    </row>
    <row r="205" spans="1:256" s="35" customFormat="1" ht="15">
      <c r="A205" s="36"/>
      <c r="B205" s="141"/>
      <c r="C205" s="36"/>
      <c r="D205" s="36"/>
      <c r="E205" s="36"/>
      <c r="F205" s="36"/>
      <c r="G205" s="36"/>
      <c r="H205" s="36"/>
      <c r="I205" s="36"/>
      <c r="J205" s="36"/>
      <c r="FW205" s="36"/>
      <c r="FX205" s="36"/>
      <c r="FY205" s="36"/>
      <c r="FZ205" s="36"/>
      <c r="GA205" s="36"/>
      <c r="GB205" s="36"/>
      <c r="GC205" s="36"/>
      <c r="GD205" s="36"/>
      <c r="GE205" s="36"/>
      <c r="GF205" s="36"/>
      <c r="GG205" s="36"/>
      <c r="GH205" s="36"/>
      <c r="GI205" s="36"/>
      <c r="GJ205" s="36"/>
      <c r="GK205" s="36"/>
      <c r="GL205" s="36"/>
      <c r="GM205" s="36"/>
      <c r="GN205" s="36"/>
      <c r="GO205" s="36"/>
      <c r="GP205" s="36"/>
      <c r="GQ205" s="36"/>
      <c r="GR205" s="36"/>
      <c r="GS205" s="36"/>
      <c r="GT205" s="36"/>
      <c r="GU205" s="36"/>
      <c r="GV205" s="36"/>
      <c r="GW205" s="36"/>
      <c r="GX205" s="36"/>
      <c r="GY205" s="36"/>
      <c r="GZ205" s="36"/>
      <c r="HA205" s="36"/>
      <c r="HB205" s="36"/>
      <c r="HC205" s="36"/>
      <c r="HD205" s="36"/>
      <c r="HE205" s="36"/>
      <c r="HF205" s="36"/>
      <c r="HG205" s="36"/>
      <c r="HH205" s="36"/>
      <c r="HI205" s="36"/>
      <c r="HJ205" s="36"/>
      <c r="HK205" s="36"/>
      <c r="HL205" s="36"/>
      <c r="HM205" s="36"/>
      <c r="HN205" s="36"/>
      <c r="HO205" s="36"/>
      <c r="HP205" s="36"/>
      <c r="HQ205" s="36"/>
      <c r="HR205" s="36"/>
      <c r="HS205" s="36"/>
      <c r="HT205" s="36"/>
      <c r="HU205" s="36"/>
      <c r="HV205" s="36"/>
      <c r="HW205" s="36"/>
      <c r="HX205" s="36"/>
      <c r="HY205" s="36"/>
      <c r="HZ205" s="36"/>
      <c r="IA205" s="36"/>
      <c r="IB205" s="36"/>
      <c r="IC205" s="36"/>
      <c r="ID205" s="36"/>
      <c r="IE205" s="36"/>
      <c r="IF205" s="36"/>
      <c r="IG205" s="36"/>
      <c r="IH205" s="36"/>
      <c r="II205" s="36"/>
      <c r="IJ205" s="36"/>
      <c r="IK205" s="36"/>
      <c r="IL205" s="36"/>
      <c r="IM205" s="36"/>
      <c r="IN205" s="36"/>
      <c r="IO205" s="36"/>
      <c r="IP205" s="36"/>
      <c r="IQ205" s="36"/>
      <c r="IR205" s="36"/>
      <c r="IS205" s="36"/>
      <c r="IT205" s="36"/>
      <c r="IU205" s="36"/>
      <c r="IV205" s="36"/>
    </row>
    <row r="206" spans="1:256" s="35" customFormat="1" ht="15">
      <c r="A206" s="36"/>
      <c r="B206" s="141"/>
      <c r="C206" s="36"/>
      <c r="D206" s="36"/>
      <c r="E206" s="36"/>
      <c r="F206" s="36"/>
      <c r="G206" s="36"/>
      <c r="H206" s="36"/>
      <c r="I206" s="36"/>
      <c r="J206" s="36"/>
      <c r="FW206" s="36"/>
      <c r="FX206" s="36"/>
      <c r="FY206" s="36"/>
      <c r="FZ206" s="36"/>
      <c r="GA206" s="36"/>
      <c r="GB206" s="36"/>
      <c r="GC206" s="36"/>
      <c r="GD206" s="36"/>
      <c r="GE206" s="36"/>
      <c r="GF206" s="36"/>
      <c r="GG206" s="36"/>
      <c r="GH206" s="36"/>
      <c r="GI206" s="36"/>
      <c r="GJ206" s="36"/>
      <c r="GK206" s="36"/>
      <c r="GL206" s="36"/>
      <c r="GM206" s="36"/>
      <c r="GN206" s="36"/>
      <c r="GO206" s="36"/>
      <c r="GP206" s="36"/>
      <c r="GQ206" s="36"/>
      <c r="GR206" s="36"/>
      <c r="GS206" s="36"/>
      <c r="GT206" s="36"/>
      <c r="GU206" s="36"/>
      <c r="GV206" s="36"/>
      <c r="GW206" s="36"/>
      <c r="GX206" s="36"/>
      <c r="GY206" s="36"/>
      <c r="GZ206" s="36"/>
      <c r="HA206" s="36"/>
      <c r="HB206" s="36"/>
      <c r="HC206" s="36"/>
      <c r="HD206" s="36"/>
      <c r="HE206" s="36"/>
      <c r="HF206" s="36"/>
      <c r="HG206" s="36"/>
      <c r="HH206" s="36"/>
      <c r="HI206" s="36"/>
      <c r="HJ206" s="36"/>
      <c r="HK206" s="36"/>
      <c r="HL206" s="36"/>
      <c r="HM206" s="36"/>
      <c r="HN206" s="36"/>
      <c r="HO206" s="36"/>
      <c r="HP206" s="36"/>
      <c r="HQ206" s="36"/>
      <c r="HR206" s="36"/>
      <c r="HS206" s="36"/>
      <c r="HT206" s="36"/>
      <c r="HU206" s="36"/>
      <c r="HV206" s="36"/>
      <c r="HW206" s="36"/>
      <c r="HX206" s="36"/>
      <c r="HY206" s="36"/>
      <c r="HZ206" s="36"/>
      <c r="IA206" s="36"/>
      <c r="IB206" s="36"/>
      <c r="IC206" s="36"/>
      <c r="ID206" s="36"/>
      <c r="IE206" s="36"/>
      <c r="IF206" s="36"/>
      <c r="IG206" s="36"/>
      <c r="IH206" s="36"/>
      <c r="II206" s="36"/>
      <c r="IJ206" s="36"/>
      <c r="IK206" s="36"/>
      <c r="IL206" s="36"/>
      <c r="IM206" s="36"/>
      <c r="IN206" s="36"/>
      <c r="IO206" s="36"/>
      <c r="IP206" s="36"/>
      <c r="IQ206" s="36"/>
      <c r="IR206" s="36"/>
      <c r="IS206" s="36"/>
      <c r="IT206" s="36"/>
      <c r="IU206" s="36"/>
      <c r="IV206" s="36"/>
    </row>
    <row r="207" spans="1:256" s="35" customFormat="1" ht="15">
      <c r="A207" s="36"/>
      <c r="B207" s="141"/>
      <c r="C207" s="36"/>
      <c r="D207" s="36"/>
      <c r="E207" s="36"/>
      <c r="F207" s="36"/>
      <c r="G207" s="36"/>
      <c r="H207" s="36"/>
      <c r="I207" s="36"/>
      <c r="J207" s="36"/>
      <c r="FW207" s="36"/>
      <c r="FX207" s="36"/>
      <c r="FY207" s="36"/>
      <c r="FZ207" s="36"/>
      <c r="GA207" s="36"/>
      <c r="GB207" s="36"/>
      <c r="GC207" s="36"/>
      <c r="GD207" s="36"/>
      <c r="GE207" s="36"/>
      <c r="GF207" s="36"/>
      <c r="GG207" s="36"/>
      <c r="GH207" s="36"/>
      <c r="GI207" s="36"/>
      <c r="GJ207" s="36"/>
      <c r="GK207" s="36"/>
      <c r="GL207" s="36"/>
      <c r="GM207" s="36"/>
      <c r="GN207" s="36"/>
      <c r="GO207" s="36"/>
      <c r="GP207" s="36"/>
      <c r="GQ207" s="36"/>
      <c r="GR207" s="36"/>
      <c r="GS207" s="36"/>
      <c r="GT207" s="36"/>
      <c r="GU207" s="36"/>
      <c r="GV207" s="36"/>
      <c r="GW207" s="36"/>
      <c r="GX207" s="36"/>
      <c r="GY207" s="36"/>
      <c r="GZ207" s="36"/>
      <c r="HA207" s="36"/>
      <c r="HB207" s="36"/>
      <c r="HC207" s="36"/>
      <c r="HD207" s="36"/>
      <c r="HE207" s="36"/>
      <c r="HF207" s="36"/>
      <c r="HG207" s="36"/>
      <c r="HH207" s="36"/>
      <c r="HI207" s="36"/>
      <c r="HJ207" s="36"/>
      <c r="HK207" s="36"/>
      <c r="HL207" s="36"/>
      <c r="HM207" s="36"/>
      <c r="HN207" s="36"/>
      <c r="HO207" s="36"/>
      <c r="HP207" s="36"/>
      <c r="HQ207" s="36"/>
      <c r="HR207" s="36"/>
      <c r="HS207" s="36"/>
      <c r="HT207" s="36"/>
      <c r="HU207" s="36"/>
      <c r="HV207" s="36"/>
      <c r="HW207" s="36"/>
      <c r="HX207" s="36"/>
      <c r="HY207" s="36"/>
      <c r="HZ207" s="36"/>
      <c r="IA207" s="36"/>
      <c r="IB207" s="36"/>
      <c r="IC207" s="36"/>
      <c r="ID207" s="36"/>
      <c r="IE207" s="36"/>
      <c r="IF207" s="36"/>
      <c r="IG207" s="36"/>
      <c r="IH207" s="36"/>
      <c r="II207" s="36"/>
      <c r="IJ207" s="36"/>
      <c r="IK207" s="36"/>
      <c r="IL207" s="36"/>
      <c r="IM207" s="36"/>
      <c r="IN207" s="36"/>
      <c r="IO207" s="36"/>
      <c r="IP207" s="36"/>
      <c r="IQ207" s="36"/>
      <c r="IR207" s="36"/>
      <c r="IS207" s="36"/>
      <c r="IT207" s="36"/>
      <c r="IU207" s="36"/>
      <c r="IV207" s="36"/>
    </row>
    <row r="208" spans="1:256" s="35" customFormat="1" ht="15">
      <c r="A208" s="36"/>
      <c r="B208" s="141"/>
      <c r="C208" s="36"/>
      <c r="D208" s="36"/>
      <c r="E208" s="36"/>
      <c r="F208" s="36"/>
      <c r="G208" s="36"/>
      <c r="H208" s="36"/>
      <c r="I208" s="36"/>
      <c r="J208" s="36"/>
      <c r="FW208" s="36"/>
      <c r="FX208" s="36"/>
      <c r="FY208" s="36"/>
      <c r="FZ208" s="36"/>
      <c r="GA208" s="36"/>
      <c r="GB208" s="36"/>
      <c r="GC208" s="36"/>
      <c r="GD208" s="36"/>
      <c r="GE208" s="36"/>
      <c r="GF208" s="36"/>
      <c r="GG208" s="36"/>
      <c r="GH208" s="36"/>
      <c r="GI208" s="36"/>
      <c r="GJ208" s="36"/>
      <c r="GK208" s="36"/>
      <c r="GL208" s="36"/>
      <c r="GM208" s="36"/>
      <c r="GN208" s="36"/>
      <c r="GO208" s="36"/>
      <c r="GP208" s="36"/>
      <c r="GQ208" s="36"/>
      <c r="GR208" s="36"/>
      <c r="GS208" s="36"/>
      <c r="GT208" s="36"/>
      <c r="GU208" s="36"/>
      <c r="GV208" s="36"/>
      <c r="GW208" s="36"/>
      <c r="GX208" s="36"/>
      <c r="GY208" s="36"/>
      <c r="GZ208" s="36"/>
      <c r="HA208" s="36"/>
      <c r="HB208" s="36"/>
      <c r="HC208" s="36"/>
      <c r="HD208" s="36"/>
      <c r="HE208" s="36"/>
      <c r="HF208" s="36"/>
      <c r="HG208" s="36"/>
      <c r="HH208" s="36"/>
      <c r="HI208" s="36"/>
      <c r="HJ208" s="36"/>
      <c r="HK208" s="36"/>
      <c r="HL208" s="36"/>
      <c r="HM208" s="36"/>
      <c r="HN208" s="36"/>
      <c r="HO208" s="36"/>
      <c r="HP208" s="36"/>
      <c r="HQ208" s="36"/>
      <c r="HR208" s="36"/>
      <c r="HS208" s="36"/>
      <c r="HT208" s="36"/>
      <c r="HU208" s="36"/>
      <c r="HV208" s="36"/>
      <c r="HW208" s="36"/>
      <c r="HX208" s="36"/>
      <c r="HY208" s="36"/>
      <c r="HZ208" s="36"/>
      <c r="IA208" s="36"/>
      <c r="IB208" s="36"/>
      <c r="IC208" s="36"/>
      <c r="ID208" s="36"/>
      <c r="IE208" s="36"/>
      <c r="IF208" s="36"/>
      <c r="IG208" s="36"/>
      <c r="IH208" s="36"/>
      <c r="II208" s="36"/>
      <c r="IJ208" s="36"/>
      <c r="IK208" s="36"/>
      <c r="IL208" s="36"/>
      <c r="IM208" s="36"/>
      <c r="IN208" s="36"/>
      <c r="IO208" s="36"/>
      <c r="IP208" s="36"/>
      <c r="IQ208" s="36"/>
      <c r="IR208" s="36"/>
      <c r="IS208" s="36"/>
      <c r="IT208" s="36"/>
      <c r="IU208" s="36"/>
      <c r="IV208" s="36"/>
    </row>
    <row r="209" spans="1:256" s="35" customFormat="1" ht="15">
      <c r="A209" s="36"/>
      <c r="B209" s="141"/>
      <c r="C209" s="36"/>
      <c r="D209" s="36"/>
      <c r="E209" s="36"/>
      <c r="F209" s="36"/>
      <c r="G209" s="36"/>
      <c r="H209" s="36"/>
      <c r="I209" s="36"/>
      <c r="J209" s="36"/>
      <c r="FW209" s="36"/>
      <c r="FX209" s="36"/>
      <c r="FY209" s="36"/>
      <c r="FZ209" s="36"/>
      <c r="GA209" s="36"/>
      <c r="GB209" s="36"/>
      <c r="GC209" s="36"/>
      <c r="GD209" s="36"/>
      <c r="GE209" s="36"/>
      <c r="GF209" s="36"/>
      <c r="GG209" s="36"/>
      <c r="GH209" s="36"/>
      <c r="GI209" s="36"/>
      <c r="GJ209" s="36"/>
      <c r="GK209" s="36"/>
      <c r="GL209" s="36"/>
      <c r="GM209" s="36"/>
      <c r="GN209" s="36"/>
      <c r="GO209" s="36"/>
      <c r="GP209" s="36"/>
      <c r="GQ209" s="36"/>
      <c r="GR209" s="36"/>
      <c r="GS209" s="36"/>
      <c r="GT209" s="36"/>
      <c r="GU209" s="36"/>
      <c r="GV209" s="36"/>
      <c r="GW209" s="36"/>
      <c r="GX209" s="36"/>
      <c r="GY209" s="36"/>
      <c r="GZ209" s="36"/>
      <c r="HA209" s="36"/>
      <c r="HB209" s="36"/>
      <c r="HC209" s="36"/>
      <c r="HD209" s="36"/>
      <c r="HE209" s="36"/>
      <c r="HF209" s="36"/>
      <c r="HG209" s="36"/>
      <c r="HH209" s="36"/>
      <c r="HI209" s="36"/>
      <c r="HJ209" s="36"/>
      <c r="HK209" s="36"/>
      <c r="HL209" s="36"/>
      <c r="HM209" s="36"/>
      <c r="HN209" s="36"/>
      <c r="HO209" s="36"/>
      <c r="HP209" s="36"/>
      <c r="HQ209" s="36"/>
      <c r="HR209" s="36"/>
      <c r="HS209" s="36"/>
      <c r="HT209" s="36"/>
      <c r="HU209" s="36"/>
      <c r="HV209" s="36"/>
      <c r="HW209" s="36"/>
      <c r="HX209" s="36"/>
      <c r="HY209" s="36"/>
      <c r="HZ209" s="36"/>
      <c r="IA209" s="36"/>
      <c r="IB209" s="36"/>
      <c r="IC209" s="36"/>
      <c r="ID209" s="36"/>
      <c r="IE209" s="36"/>
      <c r="IF209" s="36"/>
      <c r="IG209" s="36"/>
      <c r="IH209" s="36"/>
      <c r="II209" s="36"/>
      <c r="IJ209" s="36"/>
      <c r="IK209" s="36"/>
      <c r="IL209" s="36"/>
      <c r="IM209" s="36"/>
      <c r="IN209" s="36"/>
      <c r="IO209" s="36"/>
      <c r="IP209" s="36"/>
      <c r="IQ209" s="36"/>
      <c r="IR209" s="36"/>
      <c r="IS209" s="36"/>
      <c r="IT209" s="36"/>
      <c r="IU209" s="36"/>
      <c r="IV209" s="36"/>
    </row>
    <row r="210" spans="1:256" s="35" customFormat="1" ht="15">
      <c r="A210" s="36"/>
      <c r="B210" s="141"/>
      <c r="C210" s="36"/>
      <c r="D210" s="36"/>
      <c r="E210" s="36"/>
      <c r="F210" s="36"/>
      <c r="G210" s="36"/>
      <c r="H210" s="36"/>
      <c r="I210" s="36"/>
      <c r="J210" s="36"/>
      <c r="FW210" s="36"/>
      <c r="FX210" s="36"/>
      <c r="FY210" s="36"/>
      <c r="FZ210" s="36"/>
      <c r="GA210" s="36"/>
      <c r="GB210" s="36"/>
      <c r="GC210" s="36"/>
      <c r="GD210" s="36"/>
      <c r="GE210" s="36"/>
      <c r="GF210" s="36"/>
      <c r="GG210" s="36"/>
      <c r="GH210" s="36"/>
      <c r="GI210" s="36"/>
      <c r="GJ210" s="36"/>
      <c r="GK210" s="36"/>
      <c r="GL210" s="36"/>
      <c r="GM210" s="36"/>
      <c r="GN210" s="36"/>
      <c r="GO210" s="36"/>
      <c r="GP210" s="36"/>
      <c r="GQ210" s="36"/>
      <c r="GR210" s="36"/>
      <c r="GS210" s="36"/>
      <c r="GT210" s="36"/>
      <c r="GU210" s="36"/>
      <c r="GV210" s="36"/>
      <c r="GW210" s="36"/>
      <c r="GX210" s="36"/>
      <c r="GY210" s="36"/>
      <c r="GZ210" s="36"/>
      <c r="HA210" s="36"/>
      <c r="HB210" s="36"/>
      <c r="HC210" s="36"/>
      <c r="HD210" s="36"/>
      <c r="HE210" s="36"/>
      <c r="HF210" s="36"/>
      <c r="HG210" s="36"/>
      <c r="HH210" s="36"/>
      <c r="HI210" s="36"/>
      <c r="HJ210" s="36"/>
      <c r="HK210" s="36"/>
      <c r="HL210" s="36"/>
      <c r="HM210" s="36"/>
      <c r="HN210" s="36"/>
      <c r="HO210" s="36"/>
      <c r="HP210" s="36"/>
      <c r="HQ210" s="36"/>
      <c r="HR210" s="36"/>
      <c r="HS210" s="36"/>
      <c r="HT210" s="36"/>
      <c r="HU210" s="36"/>
      <c r="HV210" s="36"/>
      <c r="HW210" s="36"/>
      <c r="HX210" s="36"/>
      <c r="HY210" s="36"/>
      <c r="HZ210" s="36"/>
      <c r="IA210" s="36"/>
      <c r="IB210" s="36"/>
      <c r="IC210" s="36"/>
      <c r="ID210" s="36"/>
      <c r="IE210" s="36"/>
      <c r="IF210" s="36"/>
      <c r="IG210" s="36"/>
      <c r="IH210" s="36"/>
      <c r="II210" s="36"/>
      <c r="IJ210" s="36"/>
      <c r="IK210" s="36"/>
      <c r="IL210" s="36"/>
      <c r="IM210" s="36"/>
      <c r="IN210" s="36"/>
      <c r="IO210" s="36"/>
      <c r="IP210" s="36"/>
      <c r="IQ210" s="36"/>
      <c r="IR210" s="36"/>
      <c r="IS210" s="36"/>
      <c r="IT210" s="36"/>
      <c r="IU210" s="36"/>
      <c r="IV210" s="36"/>
    </row>
    <row r="211" spans="1:256" s="35" customFormat="1" ht="15">
      <c r="A211" s="36"/>
      <c r="B211" s="141"/>
      <c r="C211" s="36"/>
      <c r="D211" s="36"/>
      <c r="E211" s="36"/>
      <c r="F211" s="36"/>
      <c r="G211" s="36"/>
      <c r="H211" s="36"/>
      <c r="I211" s="36"/>
      <c r="J211" s="36"/>
      <c r="FW211" s="36"/>
      <c r="FX211" s="36"/>
      <c r="FY211" s="36"/>
      <c r="FZ211" s="36"/>
      <c r="GA211" s="36"/>
      <c r="GB211" s="36"/>
      <c r="GC211" s="36"/>
      <c r="GD211" s="36"/>
      <c r="GE211" s="36"/>
      <c r="GF211" s="36"/>
      <c r="GG211" s="36"/>
      <c r="GH211" s="36"/>
      <c r="GI211" s="36"/>
      <c r="GJ211" s="36"/>
      <c r="GK211" s="36"/>
      <c r="GL211" s="36"/>
      <c r="GM211" s="36"/>
      <c r="GN211" s="36"/>
      <c r="GO211" s="36"/>
      <c r="GP211" s="36"/>
      <c r="GQ211" s="36"/>
      <c r="GR211" s="36"/>
      <c r="GS211" s="36"/>
      <c r="GT211" s="36"/>
      <c r="GU211" s="36"/>
      <c r="GV211" s="36"/>
      <c r="GW211" s="36"/>
      <c r="GX211" s="36"/>
      <c r="GY211" s="36"/>
      <c r="GZ211" s="36"/>
      <c r="HA211" s="36"/>
      <c r="HB211" s="36"/>
      <c r="HC211" s="36"/>
      <c r="HD211" s="36"/>
      <c r="HE211" s="36"/>
      <c r="HF211" s="36"/>
      <c r="HG211" s="36"/>
      <c r="HH211" s="36"/>
      <c r="HI211" s="36"/>
      <c r="HJ211" s="36"/>
      <c r="HK211" s="36"/>
      <c r="HL211" s="36"/>
      <c r="HM211" s="36"/>
      <c r="HN211" s="36"/>
      <c r="HO211" s="36"/>
      <c r="HP211" s="36"/>
      <c r="HQ211" s="36"/>
      <c r="HR211" s="36"/>
      <c r="HS211" s="36"/>
      <c r="HT211" s="36"/>
      <c r="HU211" s="36"/>
      <c r="HV211" s="36"/>
      <c r="HW211" s="36"/>
      <c r="HX211" s="36"/>
      <c r="HY211" s="36"/>
      <c r="HZ211" s="36"/>
      <c r="IA211" s="36"/>
      <c r="IB211" s="36"/>
      <c r="IC211" s="36"/>
      <c r="ID211" s="36"/>
      <c r="IE211" s="36"/>
      <c r="IF211" s="36"/>
      <c r="IG211" s="36"/>
      <c r="IH211" s="36"/>
      <c r="II211" s="36"/>
      <c r="IJ211" s="36"/>
      <c r="IK211" s="36"/>
      <c r="IL211" s="36"/>
      <c r="IM211" s="36"/>
      <c r="IN211" s="36"/>
      <c r="IO211" s="36"/>
      <c r="IP211" s="36"/>
      <c r="IQ211" s="36"/>
      <c r="IR211" s="36"/>
      <c r="IS211" s="36"/>
      <c r="IT211" s="36"/>
      <c r="IU211" s="36"/>
      <c r="IV211" s="36"/>
    </row>
    <row r="212" spans="1:256" s="35" customFormat="1" ht="15">
      <c r="A212" s="36"/>
      <c r="B212" s="141"/>
      <c r="C212" s="36"/>
      <c r="D212" s="36"/>
      <c r="E212" s="36"/>
      <c r="F212" s="36"/>
      <c r="G212" s="36"/>
      <c r="H212" s="36"/>
      <c r="I212" s="36"/>
      <c r="J212" s="36"/>
      <c r="FW212" s="36"/>
      <c r="FX212" s="36"/>
      <c r="FY212" s="36"/>
      <c r="FZ212" s="36"/>
      <c r="GA212" s="36"/>
      <c r="GB212" s="36"/>
      <c r="GC212" s="36"/>
      <c r="GD212" s="36"/>
      <c r="GE212" s="36"/>
      <c r="GF212" s="36"/>
      <c r="GG212" s="36"/>
      <c r="GH212" s="36"/>
      <c r="GI212" s="36"/>
      <c r="GJ212" s="36"/>
      <c r="GK212" s="36"/>
      <c r="GL212" s="36"/>
      <c r="GM212" s="36"/>
      <c r="GN212" s="36"/>
      <c r="GO212" s="36"/>
      <c r="GP212" s="36"/>
      <c r="GQ212" s="36"/>
      <c r="GR212" s="36"/>
      <c r="GS212" s="36"/>
      <c r="GT212" s="36"/>
      <c r="GU212" s="36"/>
      <c r="GV212" s="36"/>
      <c r="GW212" s="36"/>
      <c r="GX212" s="36"/>
      <c r="GY212" s="36"/>
      <c r="GZ212" s="36"/>
      <c r="HA212" s="36"/>
      <c r="HB212" s="36"/>
      <c r="HC212" s="36"/>
      <c r="HD212" s="36"/>
      <c r="HE212" s="36"/>
      <c r="HF212" s="36"/>
      <c r="HG212" s="36"/>
      <c r="HH212" s="36"/>
      <c r="HI212" s="36"/>
      <c r="HJ212" s="36"/>
      <c r="HK212" s="36"/>
      <c r="HL212" s="36"/>
      <c r="HM212" s="36"/>
      <c r="HN212" s="36"/>
      <c r="HO212" s="36"/>
      <c r="HP212" s="36"/>
      <c r="HQ212" s="36"/>
      <c r="HR212" s="36"/>
      <c r="HS212" s="36"/>
      <c r="HT212" s="36"/>
      <c r="HU212" s="36"/>
      <c r="HV212" s="36"/>
      <c r="HW212" s="36"/>
      <c r="HX212" s="36"/>
      <c r="HY212" s="36"/>
      <c r="HZ212" s="36"/>
      <c r="IA212" s="36"/>
      <c r="IB212" s="36"/>
      <c r="IC212" s="36"/>
      <c r="ID212" s="36"/>
      <c r="IE212" s="36"/>
      <c r="IF212" s="36"/>
      <c r="IG212" s="36"/>
      <c r="IH212" s="36"/>
      <c r="II212" s="36"/>
      <c r="IJ212" s="36"/>
      <c r="IK212" s="36"/>
      <c r="IL212" s="36"/>
      <c r="IM212" s="36"/>
      <c r="IN212" s="36"/>
      <c r="IO212" s="36"/>
      <c r="IP212" s="36"/>
      <c r="IQ212" s="36"/>
      <c r="IR212" s="36"/>
      <c r="IS212" s="36"/>
      <c r="IT212" s="36"/>
      <c r="IU212" s="36"/>
      <c r="IV212" s="36"/>
    </row>
    <row r="213" spans="1:256" s="35" customFormat="1" ht="15">
      <c r="A213" s="36"/>
      <c r="B213" s="141"/>
      <c r="C213" s="36"/>
      <c r="D213" s="36"/>
      <c r="E213" s="36"/>
      <c r="F213" s="36"/>
      <c r="G213" s="36"/>
      <c r="H213" s="36"/>
      <c r="I213" s="36"/>
      <c r="J213" s="36"/>
      <c r="FW213" s="36"/>
      <c r="FX213" s="36"/>
      <c r="FY213" s="36"/>
      <c r="FZ213" s="36"/>
      <c r="GA213" s="36"/>
      <c r="GB213" s="36"/>
      <c r="GC213" s="36"/>
      <c r="GD213" s="36"/>
      <c r="GE213" s="36"/>
      <c r="GF213" s="36"/>
      <c r="GG213" s="36"/>
      <c r="GH213" s="36"/>
      <c r="GI213" s="36"/>
      <c r="GJ213" s="36"/>
      <c r="GK213" s="36"/>
      <c r="GL213" s="36"/>
      <c r="GM213" s="36"/>
      <c r="GN213" s="36"/>
      <c r="GO213" s="36"/>
      <c r="GP213" s="36"/>
      <c r="GQ213" s="36"/>
      <c r="GR213" s="36"/>
      <c r="GS213" s="36"/>
      <c r="GT213" s="36"/>
      <c r="GU213" s="36"/>
      <c r="GV213" s="36"/>
      <c r="GW213" s="36"/>
      <c r="GX213" s="36"/>
      <c r="GY213" s="36"/>
      <c r="GZ213" s="36"/>
      <c r="HA213" s="36"/>
      <c r="HB213" s="36"/>
      <c r="HC213" s="36"/>
      <c r="HD213" s="36"/>
      <c r="HE213" s="36"/>
      <c r="HF213" s="36"/>
      <c r="HG213" s="36"/>
      <c r="HH213" s="36"/>
      <c r="HI213" s="36"/>
      <c r="HJ213" s="36"/>
      <c r="HK213" s="36"/>
      <c r="HL213" s="36"/>
      <c r="HM213" s="36"/>
      <c r="HN213" s="36"/>
      <c r="HO213" s="36"/>
      <c r="HP213" s="36"/>
      <c r="HQ213" s="36"/>
      <c r="HR213" s="36"/>
      <c r="HS213" s="36"/>
      <c r="HT213" s="36"/>
      <c r="HU213" s="36"/>
      <c r="HV213" s="36"/>
      <c r="HW213" s="36"/>
      <c r="HX213" s="36"/>
      <c r="HY213" s="36"/>
      <c r="HZ213" s="36"/>
      <c r="IA213" s="36"/>
      <c r="IB213" s="36"/>
      <c r="IC213" s="36"/>
      <c r="ID213" s="36"/>
      <c r="IE213" s="36"/>
      <c r="IF213" s="36"/>
      <c r="IG213" s="36"/>
      <c r="IH213" s="36"/>
      <c r="II213" s="36"/>
      <c r="IJ213" s="36"/>
      <c r="IK213" s="36"/>
      <c r="IL213" s="36"/>
      <c r="IM213" s="36"/>
      <c r="IN213" s="36"/>
      <c r="IO213" s="36"/>
      <c r="IP213" s="36"/>
      <c r="IQ213" s="36"/>
      <c r="IR213" s="36"/>
      <c r="IS213" s="36"/>
      <c r="IT213" s="36"/>
      <c r="IU213" s="36"/>
      <c r="IV213" s="36"/>
    </row>
    <row r="214" spans="1:256" s="35" customFormat="1" ht="15">
      <c r="A214" s="36"/>
      <c r="B214" s="141"/>
      <c r="C214" s="36"/>
      <c r="D214" s="36"/>
      <c r="E214" s="36"/>
      <c r="F214" s="36"/>
      <c r="G214" s="36"/>
      <c r="H214" s="36"/>
      <c r="I214" s="36"/>
      <c r="J214" s="36"/>
      <c r="FW214" s="36"/>
      <c r="FX214" s="36"/>
      <c r="FY214" s="36"/>
      <c r="FZ214" s="36"/>
      <c r="GA214" s="36"/>
      <c r="GB214" s="36"/>
      <c r="GC214" s="36"/>
      <c r="GD214" s="36"/>
      <c r="GE214" s="36"/>
      <c r="GF214" s="36"/>
      <c r="GG214" s="36"/>
      <c r="GH214" s="36"/>
      <c r="GI214" s="36"/>
      <c r="GJ214" s="36"/>
      <c r="GK214" s="36"/>
      <c r="GL214" s="36"/>
      <c r="GM214" s="36"/>
      <c r="GN214" s="36"/>
      <c r="GO214" s="36"/>
      <c r="GP214" s="36"/>
      <c r="GQ214" s="36"/>
      <c r="GR214" s="36"/>
      <c r="GS214" s="36"/>
      <c r="GT214" s="36"/>
      <c r="GU214" s="36"/>
      <c r="GV214" s="36"/>
      <c r="GW214" s="36"/>
      <c r="GX214" s="36"/>
      <c r="GY214" s="36"/>
      <c r="GZ214" s="36"/>
      <c r="HA214" s="36"/>
      <c r="HB214" s="36"/>
      <c r="HC214" s="36"/>
      <c r="HD214" s="36"/>
      <c r="HE214" s="36"/>
      <c r="HF214" s="36"/>
      <c r="HG214" s="36"/>
      <c r="HH214" s="36"/>
      <c r="HI214" s="36"/>
      <c r="HJ214" s="36"/>
      <c r="HK214" s="36"/>
      <c r="HL214" s="36"/>
      <c r="HM214" s="36"/>
      <c r="HN214" s="36"/>
      <c r="HO214" s="36"/>
      <c r="HP214" s="36"/>
      <c r="HQ214" s="36"/>
      <c r="HR214" s="36"/>
      <c r="HS214" s="36"/>
      <c r="HT214" s="36"/>
      <c r="HU214" s="36"/>
      <c r="HV214" s="36"/>
      <c r="HW214" s="36"/>
      <c r="HX214" s="36"/>
      <c r="HY214" s="36"/>
      <c r="HZ214" s="36"/>
      <c r="IA214" s="36"/>
      <c r="IB214" s="36"/>
      <c r="IC214" s="36"/>
      <c r="ID214" s="36"/>
      <c r="IE214" s="36"/>
      <c r="IF214" s="36"/>
      <c r="IG214" s="36"/>
      <c r="IH214" s="36"/>
      <c r="II214" s="36"/>
      <c r="IJ214" s="36"/>
      <c r="IK214" s="36"/>
      <c r="IL214" s="36"/>
      <c r="IM214" s="36"/>
      <c r="IN214" s="36"/>
      <c r="IO214" s="36"/>
      <c r="IP214" s="36"/>
      <c r="IQ214" s="36"/>
      <c r="IR214" s="36"/>
      <c r="IS214" s="36"/>
      <c r="IT214" s="36"/>
      <c r="IU214" s="36"/>
      <c r="IV214" s="36"/>
    </row>
    <row r="215" spans="1:256" s="35" customFormat="1" ht="15">
      <c r="A215" s="36"/>
      <c r="B215" s="141"/>
      <c r="C215" s="36"/>
      <c r="D215" s="36"/>
      <c r="E215" s="36"/>
      <c r="F215" s="36"/>
      <c r="G215" s="36"/>
      <c r="H215" s="36"/>
      <c r="I215" s="36"/>
      <c r="J215" s="36"/>
      <c r="FW215" s="36"/>
      <c r="FX215" s="36"/>
      <c r="FY215" s="36"/>
      <c r="FZ215" s="36"/>
      <c r="GA215" s="36"/>
      <c r="GB215" s="36"/>
      <c r="GC215" s="36"/>
      <c r="GD215" s="36"/>
      <c r="GE215" s="36"/>
      <c r="GF215" s="36"/>
      <c r="GG215" s="36"/>
      <c r="GH215" s="36"/>
      <c r="GI215" s="36"/>
      <c r="GJ215" s="36"/>
      <c r="GK215" s="36"/>
      <c r="GL215" s="36"/>
      <c r="GM215" s="36"/>
      <c r="GN215" s="36"/>
      <c r="GO215" s="36"/>
      <c r="GP215" s="36"/>
      <c r="GQ215" s="36"/>
      <c r="GR215" s="36"/>
      <c r="GS215" s="36"/>
      <c r="GT215" s="36"/>
      <c r="GU215" s="36"/>
      <c r="GV215" s="36"/>
      <c r="GW215" s="36"/>
      <c r="GX215" s="36"/>
      <c r="GY215" s="36"/>
      <c r="GZ215" s="36"/>
      <c r="HA215" s="36"/>
      <c r="HB215" s="36"/>
      <c r="HC215" s="36"/>
      <c r="HD215" s="36"/>
      <c r="HE215" s="36"/>
      <c r="HF215" s="36"/>
      <c r="HG215" s="36"/>
      <c r="HH215" s="36"/>
      <c r="HI215" s="36"/>
      <c r="HJ215" s="36"/>
      <c r="HK215" s="36"/>
      <c r="HL215" s="36"/>
      <c r="HM215" s="36"/>
      <c r="HN215" s="36"/>
      <c r="HO215" s="36"/>
      <c r="HP215" s="36"/>
      <c r="HQ215" s="36"/>
      <c r="HR215" s="36"/>
      <c r="HS215" s="36"/>
      <c r="HT215" s="36"/>
      <c r="HU215" s="36"/>
      <c r="HV215" s="36"/>
      <c r="HW215" s="36"/>
      <c r="HX215" s="36"/>
      <c r="HY215" s="36"/>
      <c r="HZ215" s="36"/>
      <c r="IA215" s="36"/>
      <c r="IB215" s="36"/>
      <c r="IC215" s="36"/>
      <c r="ID215" s="36"/>
      <c r="IE215" s="36"/>
      <c r="IF215" s="36"/>
      <c r="IG215" s="36"/>
      <c r="IH215" s="36"/>
      <c r="II215" s="36"/>
      <c r="IJ215" s="36"/>
      <c r="IK215" s="36"/>
      <c r="IL215" s="36"/>
      <c r="IM215" s="36"/>
      <c r="IN215" s="36"/>
      <c r="IO215" s="36"/>
      <c r="IP215" s="36"/>
      <c r="IQ215" s="36"/>
      <c r="IR215" s="36"/>
      <c r="IS215" s="36"/>
      <c r="IT215" s="36"/>
      <c r="IU215" s="36"/>
      <c r="IV215" s="36"/>
    </row>
    <row r="216" spans="1:256" s="35" customFormat="1" ht="15">
      <c r="A216" s="36"/>
      <c r="B216" s="141"/>
      <c r="C216" s="36"/>
      <c r="D216" s="36"/>
      <c r="E216" s="36"/>
      <c r="F216" s="36"/>
      <c r="G216" s="36"/>
      <c r="H216" s="36"/>
      <c r="I216" s="36"/>
      <c r="J216" s="36"/>
      <c r="FW216" s="36"/>
      <c r="FX216" s="36"/>
      <c r="FY216" s="36"/>
      <c r="FZ216" s="36"/>
      <c r="GA216" s="36"/>
      <c r="GB216" s="36"/>
      <c r="GC216" s="36"/>
      <c r="GD216" s="36"/>
      <c r="GE216" s="36"/>
      <c r="GF216" s="36"/>
      <c r="GG216" s="36"/>
      <c r="GH216" s="36"/>
      <c r="GI216" s="36"/>
      <c r="GJ216" s="36"/>
      <c r="GK216" s="36"/>
      <c r="GL216" s="36"/>
      <c r="GM216" s="36"/>
      <c r="GN216" s="36"/>
      <c r="GO216" s="36"/>
      <c r="GP216" s="36"/>
      <c r="GQ216" s="36"/>
      <c r="GR216" s="36"/>
      <c r="GS216" s="36"/>
      <c r="GT216" s="36"/>
      <c r="GU216" s="36"/>
      <c r="GV216" s="36"/>
      <c r="GW216" s="36"/>
      <c r="GX216" s="36"/>
      <c r="GY216" s="36"/>
      <c r="GZ216" s="36"/>
      <c r="HA216" s="36"/>
      <c r="HB216" s="36"/>
      <c r="HC216" s="36"/>
      <c r="HD216" s="36"/>
      <c r="HE216" s="36"/>
      <c r="HF216" s="36"/>
      <c r="HG216" s="36"/>
      <c r="HH216" s="36"/>
      <c r="HI216" s="36"/>
      <c r="HJ216" s="36"/>
      <c r="HK216" s="36"/>
      <c r="HL216" s="36"/>
      <c r="HM216" s="36"/>
      <c r="HN216" s="36"/>
      <c r="HO216" s="36"/>
      <c r="HP216" s="36"/>
      <c r="HQ216" s="36"/>
      <c r="HR216" s="36"/>
      <c r="HS216" s="36"/>
      <c r="HT216" s="36"/>
      <c r="HU216" s="36"/>
      <c r="HV216" s="36"/>
      <c r="HW216" s="36"/>
      <c r="HX216" s="36"/>
      <c r="HY216" s="36"/>
      <c r="HZ216" s="36"/>
      <c r="IA216" s="36"/>
      <c r="IB216" s="36"/>
      <c r="IC216" s="36"/>
      <c r="ID216" s="36"/>
      <c r="IE216" s="36"/>
      <c r="IF216" s="36"/>
      <c r="IG216" s="36"/>
      <c r="IH216" s="36"/>
      <c r="II216" s="36"/>
      <c r="IJ216" s="36"/>
      <c r="IK216" s="36"/>
      <c r="IL216" s="36"/>
      <c r="IM216" s="36"/>
      <c r="IN216" s="36"/>
      <c r="IO216" s="36"/>
      <c r="IP216" s="36"/>
      <c r="IQ216" s="36"/>
      <c r="IR216" s="36"/>
      <c r="IS216" s="36"/>
      <c r="IT216" s="36"/>
      <c r="IU216" s="36"/>
      <c r="IV216" s="36"/>
    </row>
    <row r="217" spans="1:256" s="35" customFormat="1" ht="15">
      <c r="A217" s="36"/>
      <c r="B217" s="141"/>
      <c r="C217" s="36"/>
      <c r="D217" s="36"/>
      <c r="E217" s="36"/>
      <c r="F217" s="36"/>
      <c r="G217" s="36"/>
      <c r="H217" s="36"/>
      <c r="I217" s="36"/>
      <c r="J217" s="36"/>
      <c r="FW217" s="36"/>
      <c r="FX217" s="36"/>
      <c r="FY217" s="36"/>
      <c r="FZ217" s="36"/>
      <c r="GA217" s="36"/>
      <c r="GB217" s="36"/>
      <c r="GC217" s="36"/>
      <c r="GD217" s="36"/>
      <c r="GE217" s="36"/>
      <c r="GF217" s="36"/>
      <c r="GG217" s="36"/>
      <c r="GH217" s="36"/>
      <c r="GI217" s="36"/>
      <c r="GJ217" s="36"/>
      <c r="GK217" s="36"/>
      <c r="GL217" s="36"/>
      <c r="GM217" s="36"/>
      <c r="GN217" s="36"/>
      <c r="GO217" s="36"/>
      <c r="GP217" s="36"/>
      <c r="GQ217" s="36"/>
      <c r="GR217" s="36"/>
      <c r="GS217" s="36"/>
      <c r="GT217" s="36"/>
      <c r="GU217" s="36"/>
      <c r="GV217" s="36"/>
      <c r="GW217" s="36"/>
      <c r="GX217" s="36"/>
      <c r="GY217" s="36"/>
      <c r="GZ217" s="36"/>
      <c r="HA217" s="36"/>
      <c r="HB217" s="36"/>
      <c r="HC217" s="36"/>
      <c r="HD217" s="36"/>
      <c r="HE217" s="36"/>
      <c r="HF217" s="36"/>
      <c r="HG217" s="36"/>
      <c r="HH217" s="36"/>
      <c r="HI217" s="36"/>
      <c r="HJ217" s="36"/>
      <c r="HK217" s="36"/>
      <c r="HL217" s="36"/>
      <c r="HM217" s="36"/>
      <c r="HN217" s="36"/>
      <c r="HO217" s="36"/>
      <c r="HP217" s="36"/>
      <c r="HQ217" s="36"/>
      <c r="HR217" s="36"/>
      <c r="HS217" s="36"/>
      <c r="HT217" s="36"/>
      <c r="HU217" s="36"/>
      <c r="HV217" s="36"/>
      <c r="HW217" s="36"/>
      <c r="HX217" s="36"/>
      <c r="HY217" s="36"/>
      <c r="HZ217" s="36"/>
      <c r="IA217" s="36"/>
      <c r="IB217" s="36"/>
      <c r="IC217" s="36"/>
      <c r="ID217" s="36"/>
      <c r="IE217" s="36"/>
      <c r="IF217" s="36"/>
      <c r="IG217" s="36"/>
      <c r="IH217" s="36"/>
      <c r="II217" s="36"/>
      <c r="IJ217" s="36"/>
      <c r="IK217" s="36"/>
      <c r="IL217" s="36"/>
      <c r="IM217" s="36"/>
      <c r="IN217" s="36"/>
      <c r="IO217" s="36"/>
      <c r="IP217" s="36"/>
      <c r="IQ217" s="36"/>
      <c r="IR217" s="36"/>
      <c r="IS217" s="36"/>
      <c r="IT217" s="36"/>
      <c r="IU217" s="36"/>
      <c r="IV217" s="36"/>
    </row>
    <row r="218" spans="1:256" s="35" customFormat="1" ht="15">
      <c r="A218" s="36"/>
      <c r="B218" s="141"/>
      <c r="C218" s="36"/>
      <c r="D218" s="36"/>
      <c r="E218" s="36"/>
      <c r="F218" s="36"/>
      <c r="G218" s="36"/>
      <c r="H218" s="36"/>
      <c r="I218" s="36"/>
      <c r="J218" s="36"/>
      <c r="FW218" s="36"/>
      <c r="FX218" s="36"/>
      <c r="FY218" s="36"/>
      <c r="FZ218" s="36"/>
      <c r="GA218" s="36"/>
      <c r="GB218" s="36"/>
      <c r="GC218" s="36"/>
      <c r="GD218" s="36"/>
      <c r="GE218" s="36"/>
      <c r="GF218" s="36"/>
      <c r="GG218" s="36"/>
      <c r="GH218" s="36"/>
      <c r="GI218" s="36"/>
      <c r="GJ218" s="36"/>
      <c r="GK218" s="36"/>
      <c r="GL218" s="36"/>
      <c r="GM218" s="36"/>
      <c r="GN218" s="36"/>
      <c r="GO218" s="36"/>
      <c r="GP218" s="36"/>
      <c r="GQ218" s="36"/>
      <c r="GR218" s="36"/>
      <c r="GS218" s="36"/>
      <c r="GT218" s="36"/>
      <c r="GU218" s="36"/>
      <c r="GV218" s="36"/>
      <c r="GW218" s="36"/>
      <c r="GX218" s="36"/>
      <c r="GY218" s="36"/>
      <c r="GZ218" s="36"/>
      <c r="HA218" s="36"/>
      <c r="HB218" s="36"/>
      <c r="HC218" s="36"/>
      <c r="HD218" s="36"/>
      <c r="HE218" s="36"/>
      <c r="HF218" s="36"/>
      <c r="HG218" s="36"/>
      <c r="HH218" s="36"/>
      <c r="HI218" s="36"/>
      <c r="HJ218" s="36"/>
      <c r="HK218" s="36"/>
      <c r="HL218" s="36"/>
      <c r="HM218" s="36"/>
      <c r="HN218" s="36"/>
      <c r="HO218" s="36"/>
      <c r="HP218" s="36"/>
      <c r="HQ218" s="36"/>
      <c r="HR218" s="36"/>
      <c r="HS218" s="36"/>
      <c r="HT218" s="36"/>
      <c r="HU218" s="36"/>
      <c r="HV218" s="36"/>
      <c r="HW218" s="36"/>
      <c r="HX218" s="36"/>
      <c r="HY218" s="36"/>
      <c r="HZ218" s="36"/>
      <c r="IA218" s="36"/>
      <c r="IB218" s="36"/>
      <c r="IC218" s="36"/>
      <c r="ID218" s="36"/>
      <c r="IE218" s="36"/>
      <c r="IF218" s="36"/>
      <c r="IG218" s="36"/>
      <c r="IH218" s="36"/>
      <c r="II218" s="36"/>
      <c r="IJ218" s="36"/>
      <c r="IK218" s="36"/>
      <c r="IL218" s="36"/>
      <c r="IM218" s="36"/>
      <c r="IN218" s="36"/>
      <c r="IO218" s="36"/>
      <c r="IP218" s="36"/>
      <c r="IQ218" s="36"/>
      <c r="IR218" s="36"/>
      <c r="IS218" s="36"/>
      <c r="IT218" s="36"/>
      <c r="IU218" s="36"/>
      <c r="IV218" s="36"/>
    </row>
    <row r="219" spans="1:256" s="35" customFormat="1" ht="15">
      <c r="A219" s="36"/>
      <c r="B219" s="141"/>
      <c r="C219" s="36"/>
      <c r="D219" s="36"/>
      <c r="E219" s="36"/>
      <c r="F219" s="36"/>
      <c r="G219" s="36"/>
      <c r="H219" s="36"/>
      <c r="I219" s="36"/>
      <c r="J219" s="36"/>
      <c r="FW219" s="36"/>
      <c r="FX219" s="36"/>
      <c r="FY219" s="36"/>
      <c r="FZ219" s="36"/>
      <c r="GA219" s="36"/>
      <c r="GB219" s="36"/>
      <c r="GC219" s="36"/>
      <c r="GD219" s="36"/>
      <c r="GE219" s="36"/>
      <c r="GF219" s="36"/>
      <c r="GG219" s="36"/>
      <c r="GH219" s="36"/>
      <c r="GI219" s="36"/>
      <c r="GJ219" s="36"/>
      <c r="GK219" s="36"/>
      <c r="GL219" s="36"/>
      <c r="GM219" s="36"/>
      <c r="GN219" s="36"/>
      <c r="GO219" s="36"/>
      <c r="GP219" s="36"/>
      <c r="GQ219" s="36"/>
      <c r="GR219" s="36"/>
      <c r="GS219" s="36"/>
      <c r="GT219" s="36"/>
      <c r="GU219" s="36"/>
      <c r="GV219" s="36"/>
      <c r="GW219" s="36"/>
      <c r="GX219" s="36"/>
      <c r="GY219" s="36"/>
      <c r="GZ219" s="36"/>
      <c r="HA219" s="36"/>
      <c r="HB219" s="36"/>
      <c r="HC219" s="36"/>
      <c r="HD219" s="36"/>
      <c r="HE219" s="36"/>
      <c r="HF219" s="36"/>
      <c r="HG219" s="36"/>
      <c r="HH219" s="36"/>
      <c r="HI219" s="36"/>
      <c r="HJ219" s="36"/>
      <c r="HK219" s="36"/>
      <c r="HL219" s="36"/>
      <c r="HM219" s="36"/>
      <c r="HN219" s="36"/>
      <c r="HO219" s="36"/>
      <c r="HP219" s="36"/>
      <c r="HQ219" s="36"/>
      <c r="HR219" s="36"/>
      <c r="HS219" s="36"/>
      <c r="HT219" s="36"/>
      <c r="HU219" s="36"/>
      <c r="HV219" s="36"/>
      <c r="HW219" s="36"/>
      <c r="HX219" s="36"/>
      <c r="HY219" s="36"/>
      <c r="HZ219" s="36"/>
      <c r="IA219" s="36"/>
      <c r="IB219" s="36"/>
      <c r="IC219" s="36"/>
      <c r="ID219" s="36"/>
      <c r="IE219" s="36"/>
      <c r="IF219" s="36"/>
      <c r="IG219" s="36"/>
      <c r="IH219" s="36"/>
      <c r="II219" s="36"/>
      <c r="IJ219" s="36"/>
      <c r="IK219" s="36"/>
      <c r="IL219" s="36"/>
      <c r="IM219" s="36"/>
      <c r="IN219" s="36"/>
      <c r="IO219" s="36"/>
      <c r="IP219" s="36"/>
      <c r="IQ219" s="36"/>
      <c r="IR219" s="36"/>
      <c r="IS219" s="36"/>
      <c r="IT219" s="36"/>
      <c r="IU219" s="36"/>
      <c r="IV219" s="36"/>
    </row>
    <row r="220" spans="1:256" s="35" customFormat="1" ht="15">
      <c r="A220" s="36"/>
      <c r="B220" s="141"/>
      <c r="C220" s="36"/>
      <c r="D220" s="36"/>
      <c r="E220" s="36"/>
      <c r="F220" s="36"/>
      <c r="G220" s="36"/>
      <c r="H220" s="36"/>
      <c r="I220" s="36"/>
      <c r="J220" s="36"/>
      <c r="FW220" s="36"/>
      <c r="FX220" s="36"/>
      <c r="FY220" s="36"/>
      <c r="FZ220" s="36"/>
      <c r="GA220" s="36"/>
      <c r="GB220" s="36"/>
      <c r="GC220" s="36"/>
      <c r="GD220" s="36"/>
      <c r="GE220" s="36"/>
      <c r="GF220" s="36"/>
      <c r="GG220" s="36"/>
      <c r="GH220" s="36"/>
      <c r="GI220" s="36"/>
      <c r="GJ220" s="36"/>
      <c r="GK220" s="36"/>
      <c r="GL220" s="36"/>
      <c r="GM220" s="36"/>
      <c r="GN220" s="36"/>
      <c r="GO220" s="36"/>
      <c r="GP220" s="36"/>
      <c r="GQ220" s="36"/>
      <c r="GR220" s="36"/>
      <c r="GS220" s="36"/>
      <c r="GT220" s="36"/>
      <c r="GU220" s="36"/>
      <c r="GV220" s="36"/>
      <c r="GW220" s="36"/>
      <c r="GX220" s="36"/>
      <c r="GY220" s="36"/>
      <c r="GZ220" s="36"/>
      <c r="HA220" s="36"/>
      <c r="HB220" s="36"/>
      <c r="HC220" s="36"/>
      <c r="HD220" s="36"/>
      <c r="HE220" s="36"/>
      <c r="HF220" s="36"/>
      <c r="HG220" s="36"/>
      <c r="HH220" s="36"/>
      <c r="HI220" s="36"/>
      <c r="HJ220" s="36"/>
      <c r="HK220" s="36"/>
      <c r="HL220" s="36"/>
      <c r="HM220" s="36"/>
      <c r="HN220" s="36"/>
      <c r="HO220" s="36"/>
      <c r="HP220" s="36"/>
      <c r="HQ220" s="36"/>
      <c r="HR220" s="36"/>
      <c r="HS220" s="36"/>
      <c r="HT220" s="36"/>
      <c r="HU220" s="36"/>
      <c r="HV220" s="36"/>
      <c r="HW220" s="36"/>
      <c r="HX220" s="36"/>
      <c r="HY220" s="36"/>
      <c r="HZ220" s="36"/>
      <c r="IA220" s="36"/>
      <c r="IB220" s="36"/>
      <c r="IC220" s="36"/>
      <c r="ID220" s="36"/>
      <c r="IE220" s="36"/>
      <c r="IF220" s="36"/>
      <c r="IG220" s="36"/>
      <c r="IH220" s="36"/>
      <c r="II220" s="36"/>
      <c r="IJ220" s="36"/>
      <c r="IK220" s="36"/>
      <c r="IL220" s="36"/>
      <c r="IM220" s="36"/>
      <c r="IN220" s="36"/>
      <c r="IO220" s="36"/>
      <c r="IP220" s="36"/>
      <c r="IQ220" s="36"/>
      <c r="IR220" s="36"/>
      <c r="IS220" s="36"/>
      <c r="IT220" s="36"/>
      <c r="IU220" s="36"/>
      <c r="IV220" s="36"/>
    </row>
    <row r="221" spans="1:256" s="35" customFormat="1" ht="15">
      <c r="A221" s="36"/>
      <c r="B221" s="141"/>
      <c r="C221" s="36"/>
      <c r="D221" s="36"/>
      <c r="E221" s="36"/>
      <c r="F221" s="36"/>
      <c r="G221" s="36"/>
      <c r="H221" s="36"/>
      <c r="I221" s="36"/>
      <c r="J221" s="36"/>
      <c r="FW221" s="36"/>
      <c r="FX221" s="36"/>
      <c r="FY221" s="36"/>
      <c r="FZ221" s="36"/>
      <c r="GA221" s="36"/>
      <c r="GB221" s="36"/>
      <c r="GC221" s="36"/>
      <c r="GD221" s="36"/>
      <c r="GE221" s="36"/>
      <c r="GF221" s="36"/>
      <c r="GG221" s="36"/>
      <c r="GH221" s="36"/>
      <c r="GI221" s="36"/>
      <c r="GJ221" s="36"/>
      <c r="GK221" s="36"/>
      <c r="GL221" s="36"/>
      <c r="GM221" s="36"/>
      <c r="GN221" s="36"/>
      <c r="GO221" s="36"/>
      <c r="GP221" s="36"/>
      <c r="GQ221" s="36"/>
      <c r="GR221" s="36"/>
      <c r="GS221" s="36"/>
      <c r="GT221" s="36"/>
      <c r="GU221" s="36"/>
      <c r="GV221" s="36"/>
      <c r="GW221" s="36"/>
      <c r="GX221" s="36"/>
      <c r="GY221" s="36"/>
      <c r="GZ221" s="36"/>
      <c r="HA221" s="36"/>
      <c r="HB221" s="36"/>
      <c r="HC221" s="36"/>
      <c r="HD221" s="36"/>
      <c r="HE221" s="36"/>
      <c r="HF221" s="36"/>
      <c r="HG221" s="36"/>
      <c r="HH221" s="36"/>
      <c r="HI221" s="36"/>
      <c r="HJ221" s="36"/>
      <c r="HK221" s="36"/>
      <c r="HL221" s="36"/>
      <c r="HM221" s="36"/>
      <c r="HN221" s="36"/>
      <c r="HO221" s="36"/>
      <c r="HP221" s="36"/>
      <c r="HQ221" s="36"/>
      <c r="HR221" s="36"/>
      <c r="HS221" s="36"/>
      <c r="HT221" s="36"/>
      <c r="HU221" s="36"/>
      <c r="HV221" s="36"/>
      <c r="HW221" s="36"/>
      <c r="HX221" s="36"/>
      <c r="HY221" s="36"/>
      <c r="HZ221" s="36"/>
      <c r="IA221" s="36"/>
      <c r="IB221" s="36"/>
      <c r="IC221" s="36"/>
      <c r="ID221" s="36"/>
      <c r="IE221" s="36"/>
      <c r="IF221" s="36"/>
      <c r="IG221" s="36"/>
      <c r="IH221" s="36"/>
      <c r="II221" s="36"/>
      <c r="IJ221" s="36"/>
      <c r="IK221" s="36"/>
      <c r="IL221" s="36"/>
      <c r="IM221" s="36"/>
      <c r="IN221" s="36"/>
      <c r="IO221" s="36"/>
      <c r="IP221" s="36"/>
      <c r="IQ221" s="36"/>
      <c r="IR221" s="36"/>
      <c r="IS221" s="36"/>
      <c r="IT221" s="36"/>
      <c r="IU221" s="36"/>
      <c r="IV221" s="36"/>
    </row>
    <row r="222" spans="1:256" s="35" customFormat="1" ht="15">
      <c r="A222" s="36"/>
      <c r="B222" s="141"/>
      <c r="C222" s="36"/>
      <c r="D222" s="36"/>
      <c r="E222" s="36"/>
      <c r="F222" s="36"/>
      <c r="G222" s="36"/>
      <c r="H222" s="36"/>
      <c r="I222" s="36"/>
      <c r="J222" s="36"/>
      <c r="FW222" s="36"/>
      <c r="FX222" s="36"/>
      <c r="FY222" s="36"/>
      <c r="FZ222" s="36"/>
      <c r="GA222" s="36"/>
      <c r="GB222" s="36"/>
      <c r="GC222" s="36"/>
      <c r="GD222" s="36"/>
      <c r="GE222" s="36"/>
      <c r="GF222" s="36"/>
      <c r="GG222" s="36"/>
      <c r="GH222" s="36"/>
      <c r="GI222" s="36"/>
      <c r="GJ222" s="36"/>
      <c r="GK222" s="36"/>
      <c r="GL222" s="36"/>
      <c r="GM222" s="36"/>
      <c r="GN222" s="36"/>
      <c r="GO222" s="36"/>
      <c r="GP222" s="36"/>
      <c r="GQ222" s="36"/>
      <c r="GR222" s="36"/>
      <c r="GS222" s="36"/>
      <c r="GT222" s="36"/>
      <c r="GU222" s="36"/>
      <c r="GV222" s="36"/>
      <c r="GW222" s="36"/>
      <c r="GX222" s="36"/>
      <c r="GY222" s="36"/>
      <c r="GZ222" s="36"/>
      <c r="HA222" s="36"/>
      <c r="HB222" s="36"/>
      <c r="HC222" s="36"/>
      <c r="HD222" s="36"/>
      <c r="HE222" s="36"/>
      <c r="HF222" s="36"/>
      <c r="HG222" s="36"/>
      <c r="HH222" s="36"/>
      <c r="HI222" s="36"/>
      <c r="HJ222" s="36"/>
      <c r="HK222" s="36"/>
      <c r="HL222" s="36"/>
      <c r="HM222" s="36"/>
      <c r="HN222" s="36"/>
      <c r="HO222" s="36"/>
      <c r="HP222" s="36"/>
      <c r="HQ222" s="36"/>
      <c r="HR222" s="36"/>
      <c r="HS222" s="36"/>
      <c r="HT222" s="36"/>
      <c r="HU222" s="36"/>
      <c r="HV222" s="36"/>
      <c r="HW222" s="36"/>
      <c r="HX222" s="36"/>
      <c r="HY222" s="36"/>
      <c r="HZ222" s="36"/>
      <c r="IA222" s="36"/>
      <c r="IB222" s="36"/>
      <c r="IC222" s="36"/>
      <c r="ID222" s="36"/>
      <c r="IE222" s="36"/>
      <c r="IF222" s="36"/>
      <c r="IG222" s="36"/>
      <c r="IH222" s="36"/>
      <c r="II222" s="36"/>
      <c r="IJ222" s="36"/>
      <c r="IK222" s="36"/>
      <c r="IL222" s="36"/>
      <c r="IM222" s="36"/>
      <c r="IN222" s="36"/>
      <c r="IO222" s="36"/>
      <c r="IP222" s="36"/>
      <c r="IQ222" s="36"/>
      <c r="IR222" s="36"/>
      <c r="IS222" s="36"/>
      <c r="IT222" s="36"/>
      <c r="IU222" s="36"/>
      <c r="IV222" s="36"/>
    </row>
    <row r="223" spans="1:256" s="35" customFormat="1" ht="15">
      <c r="A223" s="36"/>
      <c r="B223" s="141"/>
      <c r="C223" s="36"/>
      <c r="D223" s="36"/>
      <c r="E223" s="36"/>
      <c r="F223" s="36"/>
      <c r="G223" s="36"/>
      <c r="H223" s="36"/>
      <c r="I223" s="36"/>
      <c r="J223" s="36"/>
      <c r="FW223" s="36"/>
      <c r="FX223" s="36"/>
      <c r="FY223" s="36"/>
      <c r="FZ223" s="36"/>
      <c r="GA223" s="36"/>
      <c r="GB223" s="36"/>
      <c r="GC223" s="36"/>
      <c r="GD223" s="36"/>
      <c r="GE223" s="36"/>
      <c r="GF223" s="36"/>
      <c r="GG223" s="36"/>
      <c r="GH223" s="36"/>
      <c r="GI223" s="36"/>
      <c r="GJ223" s="36"/>
      <c r="GK223" s="36"/>
      <c r="GL223" s="36"/>
      <c r="GM223" s="36"/>
      <c r="GN223" s="36"/>
      <c r="GO223" s="36"/>
      <c r="GP223" s="36"/>
      <c r="GQ223" s="36"/>
      <c r="GR223" s="36"/>
      <c r="GS223" s="36"/>
      <c r="GT223" s="36"/>
      <c r="GU223" s="36"/>
      <c r="GV223" s="36"/>
      <c r="GW223" s="36"/>
      <c r="GX223" s="36"/>
      <c r="GY223" s="36"/>
      <c r="GZ223" s="36"/>
      <c r="HA223" s="36"/>
      <c r="HB223" s="36"/>
      <c r="HC223" s="36"/>
      <c r="HD223" s="36"/>
      <c r="HE223" s="36"/>
      <c r="HF223" s="36"/>
      <c r="HG223" s="36"/>
      <c r="HH223" s="36"/>
      <c r="HI223" s="36"/>
      <c r="HJ223" s="36"/>
      <c r="HK223" s="36"/>
      <c r="HL223" s="36"/>
      <c r="HM223" s="36"/>
      <c r="HN223" s="36"/>
      <c r="HO223" s="36"/>
      <c r="HP223" s="36"/>
      <c r="HQ223" s="36"/>
      <c r="HR223" s="36"/>
      <c r="HS223" s="36"/>
      <c r="HT223" s="36"/>
      <c r="HU223" s="36"/>
      <c r="HV223" s="36"/>
      <c r="HW223" s="36"/>
      <c r="HX223" s="36"/>
      <c r="HY223" s="36"/>
      <c r="HZ223" s="36"/>
      <c r="IA223" s="36"/>
      <c r="IB223" s="36"/>
      <c r="IC223" s="36"/>
      <c r="ID223" s="36"/>
      <c r="IE223" s="36"/>
      <c r="IF223" s="36"/>
      <c r="IG223" s="36"/>
      <c r="IH223" s="36"/>
      <c r="II223" s="36"/>
      <c r="IJ223" s="36"/>
      <c r="IK223" s="36"/>
      <c r="IL223" s="36"/>
      <c r="IM223" s="36"/>
      <c r="IN223" s="36"/>
      <c r="IO223" s="36"/>
      <c r="IP223" s="36"/>
      <c r="IQ223" s="36"/>
      <c r="IR223" s="36"/>
      <c r="IS223" s="36"/>
      <c r="IT223" s="36"/>
      <c r="IU223" s="36"/>
      <c r="IV223" s="36"/>
    </row>
    <row r="224" spans="1:256" s="35" customFormat="1" ht="15">
      <c r="A224" s="36"/>
      <c r="B224" s="141"/>
      <c r="C224" s="36"/>
      <c r="D224" s="36"/>
      <c r="E224" s="36"/>
      <c r="F224" s="36"/>
      <c r="G224" s="36"/>
      <c r="H224" s="36"/>
      <c r="I224" s="36"/>
      <c r="J224" s="36"/>
      <c r="FW224" s="36"/>
      <c r="FX224" s="36"/>
      <c r="FY224" s="36"/>
      <c r="FZ224" s="36"/>
      <c r="GA224" s="36"/>
      <c r="GB224" s="36"/>
      <c r="GC224" s="36"/>
      <c r="GD224" s="36"/>
      <c r="GE224" s="36"/>
      <c r="GF224" s="36"/>
      <c r="GG224" s="36"/>
      <c r="GH224" s="36"/>
      <c r="GI224" s="36"/>
      <c r="GJ224" s="36"/>
      <c r="GK224" s="36"/>
      <c r="GL224" s="36"/>
      <c r="GM224" s="36"/>
      <c r="GN224" s="36"/>
      <c r="GO224" s="36"/>
      <c r="GP224" s="36"/>
      <c r="GQ224" s="36"/>
      <c r="GR224" s="36"/>
      <c r="GS224" s="36"/>
      <c r="GT224" s="36"/>
      <c r="GU224" s="36"/>
      <c r="GV224" s="36"/>
      <c r="GW224" s="36"/>
      <c r="GX224" s="36"/>
      <c r="GY224" s="36"/>
      <c r="GZ224" s="36"/>
      <c r="HA224" s="36"/>
      <c r="HB224" s="36"/>
      <c r="HC224" s="36"/>
      <c r="HD224" s="36"/>
      <c r="HE224" s="36"/>
      <c r="HF224" s="36"/>
      <c r="HG224" s="36"/>
      <c r="HH224" s="36"/>
      <c r="HI224" s="36"/>
      <c r="HJ224" s="36"/>
      <c r="HK224" s="36"/>
      <c r="HL224" s="36"/>
      <c r="HM224" s="36"/>
      <c r="HN224" s="36"/>
      <c r="HO224" s="36"/>
      <c r="HP224" s="36"/>
      <c r="HQ224" s="36"/>
      <c r="HR224" s="36"/>
      <c r="HS224" s="36"/>
      <c r="HT224" s="36"/>
      <c r="HU224" s="36"/>
      <c r="HV224" s="36"/>
      <c r="HW224" s="36"/>
      <c r="HX224" s="36"/>
      <c r="HY224" s="36"/>
      <c r="HZ224" s="36"/>
      <c r="IA224" s="36"/>
      <c r="IB224" s="36"/>
      <c r="IC224" s="36"/>
      <c r="ID224" s="36"/>
      <c r="IE224" s="36"/>
      <c r="IF224" s="36"/>
      <c r="IG224" s="36"/>
      <c r="IH224" s="36"/>
      <c r="II224" s="36"/>
      <c r="IJ224" s="36"/>
      <c r="IK224" s="36"/>
      <c r="IL224" s="36"/>
      <c r="IM224" s="36"/>
      <c r="IN224" s="36"/>
      <c r="IO224" s="36"/>
      <c r="IP224" s="36"/>
      <c r="IQ224" s="36"/>
      <c r="IR224" s="36"/>
      <c r="IS224" s="36"/>
      <c r="IT224" s="36"/>
      <c r="IU224" s="36"/>
      <c r="IV224" s="36"/>
    </row>
    <row r="225" spans="1:256" s="35" customFormat="1" ht="15">
      <c r="A225" s="36"/>
      <c r="B225" s="141"/>
      <c r="C225" s="36"/>
      <c r="D225" s="36"/>
      <c r="E225" s="36"/>
      <c r="F225" s="36"/>
      <c r="G225" s="36"/>
      <c r="H225" s="36"/>
      <c r="I225" s="36"/>
      <c r="J225" s="36"/>
      <c r="FW225" s="36"/>
      <c r="FX225" s="36"/>
      <c r="FY225" s="36"/>
      <c r="FZ225" s="36"/>
      <c r="GA225" s="36"/>
      <c r="GB225" s="36"/>
      <c r="GC225" s="36"/>
      <c r="GD225" s="36"/>
      <c r="GE225" s="36"/>
      <c r="GF225" s="36"/>
      <c r="GG225" s="36"/>
      <c r="GH225" s="36"/>
      <c r="GI225" s="36"/>
      <c r="GJ225" s="36"/>
      <c r="GK225" s="36"/>
      <c r="GL225" s="36"/>
      <c r="GM225" s="36"/>
      <c r="GN225" s="36"/>
      <c r="GO225" s="36"/>
      <c r="GP225" s="36"/>
      <c r="GQ225" s="36"/>
      <c r="GR225" s="36"/>
      <c r="GS225" s="36"/>
      <c r="GT225" s="36"/>
      <c r="GU225" s="36"/>
      <c r="GV225" s="36"/>
      <c r="GW225" s="36"/>
      <c r="GX225" s="36"/>
      <c r="GY225" s="36"/>
      <c r="GZ225" s="36"/>
      <c r="HA225" s="36"/>
      <c r="HB225" s="36"/>
      <c r="HC225" s="36"/>
      <c r="HD225" s="36"/>
      <c r="HE225" s="36"/>
      <c r="HF225" s="36"/>
      <c r="HG225" s="36"/>
      <c r="HH225" s="36"/>
      <c r="HI225" s="36"/>
      <c r="HJ225" s="36"/>
      <c r="HK225" s="36"/>
      <c r="HL225" s="36"/>
      <c r="HM225" s="36"/>
      <c r="HN225" s="36"/>
      <c r="HO225" s="36"/>
      <c r="HP225" s="36"/>
      <c r="HQ225" s="36"/>
      <c r="HR225" s="36"/>
      <c r="HS225" s="36"/>
      <c r="HT225" s="36"/>
      <c r="HU225" s="36"/>
      <c r="HV225" s="36"/>
      <c r="HW225" s="36"/>
      <c r="HX225" s="36"/>
      <c r="HY225" s="36"/>
      <c r="HZ225" s="36"/>
      <c r="IA225" s="36"/>
      <c r="IB225" s="36"/>
      <c r="IC225" s="36"/>
      <c r="ID225" s="36"/>
      <c r="IE225" s="36"/>
      <c r="IF225" s="36"/>
      <c r="IG225" s="36"/>
      <c r="IH225" s="36"/>
      <c r="II225" s="36"/>
      <c r="IJ225" s="36"/>
      <c r="IK225" s="36"/>
      <c r="IL225" s="36"/>
      <c r="IM225" s="36"/>
      <c r="IN225" s="36"/>
      <c r="IO225" s="36"/>
      <c r="IP225" s="36"/>
      <c r="IQ225" s="36"/>
      <c r="IR225" s="36"/>
      <c r="IS225" s="36"/>
      <c r="IT225" s="36"/>
      <c r="IU225" s="36"/>
      <c r="IV225" s="36"/>
    </row>
    <row r="226" spans="1:256" s="35" customFormat="1" ht="15">
      <c r="A226" s="36"/>
      <c r="B226" s="141"/>
      <c r="C226" s="36"/>
      <c r="D226" s="36"/>
      <c r="E226" s="36"/>
      <c r="F226" s="36"/>
      <c r="G226" s="36"/>
      <c r="H226" s="36"/>
      <c r="I226" s="36"/>
      <c r="J226" s="36"/>
      <c r="FW226" s="36"/>
      <c r="FX226" s="36"/>
      <c r="FY226" s="36"/>
      <c r="FZ226" s="36"/>
      <c r="GA226" s="36"/>
      <c r="GB226" s="36"/>
      <c r="GC226" s="36"/>
      <c r="GD226" s="36"/>
      <c r="GE226" s="36"/>
      <c r="GF226" s="36"/>
      <c r="GG226" s="36"/>
      <c r="GH226" s="36"/>
      <c r="GI226" s="36"/>
      <c r="GJ226" s="36"/>
      <c r="GK226" s="36"/>
      <c r="GL226" s="36"/>
      <c r="GM226" s="36"/>
      <c r="GN226" s="36"/>
      <c r="GO226" s="36"/>
      <c r="GP226" s="36"/>
      <c r="GQ226" s="36"/>
      <c r="GR226" s="36"/>
      <c r="GS226" s="36"/>
      <c r="GT226" s="36"/>
      <c r="GU226" s="36"/>
      <c r="GV226" s="36"/>
      <c r="GW226" s="36"/>
      <c r="GX226" s="36"/>
      <c r="GY226" s="36"/>
      <c r="GZ226" s="36"/>
      <c r="HA226" s="36"/>
      <c r="HB226" s="36"/>
      <c r="HC226" s="36"/>
      <c r="HD226" s="36"/>
      <c r="HE226" s="36"/>
      <c r="HF226" s="36"/>
      <c r="HG226" s="36"/>
      <c r="HH226" s="36"/>
      <c r="HI226" s="36"/>
      <c r="HJ226" s="36"/>
      <c r="HK226" s="36"/>
      <c r="HL226" s="36"/>
      <c r="HM226" s="36"/>
      <c r="HN226" s="36"/>
      <c r="HO226" s="36"/>
      <c r="HP226" s="36"/>
      <c r="HQ226" s="36"/>
      <c r="HR226" s="36"/>
      <c r="HS226" s="36"/>
      <c r="HT226" s="36"/>
      <c r="HU226" s="36"/>
      <c r="HV226" s="36"/>
      <c r="HW226" s="36"/>
      <c r="HX226" s="36"/>
      <c r="HY226" s="36"/>
      <c r="HZ226" s="36"/>
      <c r="IA226" s="36"/>
      <c r="IB226" s="36"/>
      <c r="IC226" s="36"/>
      <c r="ID226" s="36"/>
      <c r="IE226" s="36"/>
      <c r="IF226" s="36"/>
      <c r="IG226" s="36"/>
      <c r="IH226" s="36"/>
      <c r="II226" s="36"/>
      <c r="IJ226" s="36"/>
      <c r="IK226" s="36"/>
      <c r="IL226" s="36"/>
      <c r="IM226" s="36"/>
      <c r="IN226" s="36"/>
      <c r="IO226" s="36"/>
      <c r="IP226" s="36"/>
      <c r="IQ226" s="36"/>
      <c r="IR226" s="36"/>
      <c r="IS226" s="36"/>
      <c r="IT226" s="36"/>
      <c r="IU226" s="36"/>
      <c r="IV226" s="36"/>
    </row>
    <row r="227" spans="1:256" s="35" customFormat="1" ht="15">
      <c r="A227" s="36"/>
      <c r="B227" s="141"/>
      <c r="C227" s="36"/>
      <c r="D227" s="36"/>
      <c r="E227" s="36"/>
      <c r="F227" s="36"/>
      <c r="G227" s="36"/>
      <c r="H227" s="36"/>
      <c r="I227" s="36"/>
      <c r="J227" s="36"/>
      <c r="FW227" s="36"/>
      <c r="FX227" s="36"/>
      <c r="FY227" s="36"/>
      <c r="FZ227" s="36"/>
      <c r="GA227" s="36"/>
      <c r="GB227" s="36"/>
      <c r="GC227" s="36"/>
      <c r="GD227" s="36"/>
      <c r="GE227" s="36"/>
      <c r="GF227" s="36"/>
      <c r="GG227" s="36"/>
      <c r="GH227" s="36"/>
      <c r="GI227" s="36"/>
      <c r="GJ227" s="36"/>
      <c r="GK227" s="36"/>
      <c r="GL227" s="36"/>
      <c r="GM227" s="36"/>
      <c r="GN227" s="36"/>
      <c r="GO227" s="36"/>
      <c r="GP227" s="36"/>
      <c r="GQ227" s="36"/>
      <c r="GR227" s="36"/>
      <c r="GS227" s="36"/>
      <c r="GT227" s="36"/>
      <c r="GU227" s="36"/>
      <c r="GV227" s="36"/>
      <c r="GW227" s="36"/>
      <c r="GX227" s="36"/>
      <c r="GY227" s="36"/>
      <c r="GZ227" s="36"/>
      <c r="HA227" s="36"/>
      <c r="HB227" s="36"/>
      <c r="HC227" s="36"/>
      <c r="HD227" s="36"/>
      <c r="HE227" s="36"/>
      <c r="HF227" s="36"/>
      <c r="HG227" s="36"/>
      <c r="HH227" s="36"/>
      <c r="HI227" s="36"/>
      <c r="HJ227" s="36"/>
      <c r="HK227" s="36"/>
      <c r="HL227" s="36"/>
      <c r="HM227" s="36"/>
      <c r="HN227" s="36"/>
      <c r="HO227" s="36"/>
      <c r="HP227" s="36"/>
      <c r="HQ227" s="36"/>
      <c r="HR227" s="36"/>
      <c r="HS227" s="36"/>
      <c r="HT227" s="36"/>
      <c r="HU227" s="36"/>
      <c r="HV227" s="36"/>
      <c r="HW227" s="36"/>
      <c r="HX227" s="36"/>
      <c r="HY227" s="36"/>
      <c r="HZ227" s="36"/>
      <c r="IA227" s="36"/>
      <c r="IB227" s="36"/>
      <c r="IC227" s="36"/>
      <c r="ID227" s="36"/>
      <c r="IE227" s="36"/>
      <c r="IF227" s="36"/>
      <c r="IG227" s="36"/>
      <c r="IH227" s="36"/>
      <c r="II227" s="36"/>
      <c r="IJ227" s="36"/>
      <c r="IK227" s="36"/>
      <c r="IL227" s="36"/>
      <c r="IM227" s="36"/>
      <c r="IN227" s="36"/>
      <c r="IO227" s="36"/>
      <c r="IP227" s="36"/>
      <c r="IQ227" s="36"/>
      <c r="IR227" s="36"/>
      <c r="IS227" s="36"/>
      <c r="IT227" s="36"/>
      <c r="IU227" s="36"/>
      <c r="IV227" s="36"/>
    </row>
  </sheetData>
  <sheetProtection selectLockedCells="1" selectUnlockedCells="1"/>
  <mergeCells count="36">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8:J38"/>
    <mergeCell ref="A39:J39"/>
    <mergeCell ref="A41:B42"/>
    <mergeCell ref="C41:C42"/>
    <mergeCell ref="A43:B43"/>
    <mergeCell ref="A44:B44"/>
    <mergeCell ref="A1:J1"/>
    <mergeCell ref="A2:J2"/>
    <mergeCell ref="A3:J3"/>
    <mergeCell ref="A6:A7"/>
    <mergeCell ref="B6:B7"/>
    <mergeCell ref="A37:J37"/>
  </mergeCells>
  <printOptions/>
  <pageMargins left="0.5118055555555555" right="0.5118055555555555" top="0.7875" bottom="0.78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codeName="RCL"/>
  <dimension ref="A1:D18"/>
  <sheetViews>
    <sheetView zoomScale="120" zoomScaleNormal="120" zoomScalePageLayoutView="0" workbookViewId="0" topLeftCell="A1">
      <selection activeCell="B14" sqref="B14"/>
    </sheetView>
  </sheetViews>
  <sheetFormatPr defaultColWidth="9.140625" defaultRowHeight="12.75"/>
  <cols>
    <col min="1" max="1" width="53.57421875" style="0" customWidth="1"/>
    <col min="2" max="2" width="15.8515625" style="0" customWidth="1"/>
    <col min="3" max="3" width="16.00390625" style="0" customWidth="1"/>
    <col min="4" max="4" width="15.00390625" style="0" customWidth="1"/>
  </cols>
  <sheetData>
    <row r="1" spans="1:4" ht="12.75">
      <c r="A1" s="554" t="str">
        <f>Parâmetros!A7</f>
        <v>Município de Ivoti</v>
      </c>
      <c r="B1" s="554"/>
      <c r="C1" s="554"/>
      <c r="D1" s="554"/>
    </row>
    <row r="2" spans="1:4" ht="12.75">
      <c r="A2" s="554" t="str">
        <f>Parâmetros!A8</f>
        <v>LEI DE DIRETRIZES ORÇAMENTÁRIAS  PARA 2024</v>
      </c>
      <c r="B2" s="554"/>
      <c r="C2" s="554"/>
      <c r="D2" s="554"/>
    </row>
    <row r="3" spans="1:4" ht="12.75" customHeight="1">
      <c r="A3" s="555" t="s">
        <v>332</v>
      </c>
      <c r="B3" s="555"/>
      <c r="C3" s="555"/>
      <c r="D3" s="555"/>
    </row>
    <row r="4" spans="1:4" ht="12.75">
      <c r="A4" s="556" t="s">
        <v>333</v>
      </c>
      <c r="B4" s="556"/>
      <c r="C4" s="556"/>
      <c r="D4" s="556"/>
    </row>
    <row r="5" spans="1:4" ht="12.75">
      <c r="A5" s="152" t="s">
        <v>334</v>
      </c>
      <c r="B5" s="153">
        <f>Parâmetros!$E$10</f>
        <v>2024</v>
      </c>
      <c r="C5" s="153">
        <f>B5+1</f>
        <v>2025</v>
      </c>
      <c r="D5" s="153">
        <f>C5+1</f>
        <v>2026</v>
      </c>
    </row>
    <row r="6" spans="1:4" ht="25.5">
      <c r="A6" s="154" t="s">
        <v>335</v>
      </c>
      <c r="B6" s="155">
        <f>Projeções!H8</f>
        <v>149959214.8449631</v>
      </c>
      <c r="C6" s="155">
        <f>Projeções!I8</f>
        <v>158263465.7015487</v>
      </c>
      <c r="D6" s="155">
        <f>Projeções!J8</f>
        <v>165289341.90466022</v>
      </c>
    </row>
    <row r="7" spans="1:4" ht="12.75">
      <c r="A7" s="156" t="s">
        <v>336</v>
      </c>
      <c r="B7" s="157"/>
      <c r="C7" s="157"/>
      <c r="D7" s="157"/>
    </row>
    <row r="8" spans="1:4" ht="12.75">
      <c r="A8" s="158" t="s">
        <v>337</v>
      </c>
      <c r="B8" s="159">
        <f>-(Projeções!H102+Projeções!H103+Projeções!H104)</f>
        <v>14093046.301984299</v>
      </c>
      <c r="C8" s="159">
        <f>-(Projeções!I102+Projeções!I103+Projeções!I104)</f>
        <v>14312678.765092008</v>
      </c>
      <c r="D8" s="159">
        <f>-(Projeções!J102+Projeções!J103+Projeções!J104)</f>
        <v>14461054.017303351</v>
      </c>
    </row>
    <row r="9" spans="1:4" ht="12.75">
      <c r="A9" s="158" t="s">
        <v>338</v>
      </c>
      <c r="B9" s="160">
        <v>0</v>
      </c>
      <c r="C9" s="161">
        <f>B9*(1+Parâmetros!F11)</f>
        <v>0</v>
      </c>
      <c r="D9" s="161">
        <f>C9*(1+Parâmetros!G11)</f>
        <v>0</v>
      </c>
    </row>
    <row r="10" spans="1:4" ht="12.75">
      <c r="A10" s="162" t="s">
        <v>339</v>
      </c>
      <c r="B10" s="155">
        <f>B6-B8-B9</f>
        <v>135866168.5429788</v>
      </c>
      <c r="C10" s="155">
        <f>C6-C8-C9</f>
        <v>143950786.93645668</v>
      </c>
      <c r="D10" s="155">
        <f>D6-D8-D9</f>
        <v>150828287.88735688</v>
      </c>
    </row>
    <row r="11" spans="1:4" ht="38.25">
      <c r="A11" s="163" t="s">
        <v>340</v>
      </c>
      <c r="B11" s="161">
        <v>0</v>
      </c>
      <c r="C11" s="155">
        <f>B11*(1+Parâmetros!F11)</f>
        <v>0</v>
      </c>
      <c r="D11" s="155">
        <f>C11*(1+Parâmetros!G11)</f>
        <v>0</v>
      </c>
    </row>
    <row r="12" spans="1:4" ht="12.75">
      <c r="A12" s="162" t="s">
        <v>341</v>
      </c>
      <c r="B12" s="155">
        <f>B10-B11</f>
        <v>135866168.5429788</v>
      </c>
      <c r="C12" s="155">
        <f>C10-C11</f>
        <v>143950786.93645668</v>
      </c>
      <c r="D12" s="155">
        <f>D10-D11</f>
        <v>150828287.88735688</v>
      </c>
    </row>
    <row r="13" spans="1:4" ht="38.25">
      <c r="A13" s="163" t="s">
        <v>342</v>
      </c>
      <c r="B13" s="161">
        <v>0</v>
      </c>
      <c r="C13" s="155">
        <f>B13*(1+Parâmetros!F11)</f>
        <v>0</v>
      </c>
      <c r="D13" s="155">
        <f>C13*(1+Parâmetros!G11)</f>
        <v>0</v>
      </c>
    </row>
    <row r="14" spans="1:4" ht="12.75">
      <c r="A14" s="162" t="s">
        <v>343</v>
      </c>
      <c r="B14" s="155">
        <f>B12-B13</f>
        <v>135866168.5429788</v>
      </c>
      <c r="C14" s="155">
        <f>C12-C13</f>
        <v>143950786.93645668</v>
      </c>
      <c r="D14" s="155">
        <f>D12-D13</f>
        <v>150828287.88735688</v>
      </c>
    </row>
    <row r="18" ht="12.75">
      <c r="A18" s="164"/>
    </row>
  </sheetData>
  <sheetProtection selectLockedCells="1" selectUnlockedCells="1"/>
  <mergeCells count="4">
    <mergeCell ref="A1:D1"/>
    <mergeCell ref="A2:D2"/>
    <mergeCell ref="A3:D3"/>
    <mergeCell ref="A4:D4"/>
  </mergeCells>
  <printOptions/>
  <pageMargins left="0.5118055555555555" right="0.5118055555555555" top="0.7875" bottom="0.78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codeName="Pessoal"/>
  <dimension ref="A1:D41"/>
  <sheetViews>
    <sheetView zoomScale="120" zoomScaleNormal="120" zoomScaleSheetLayoutView="100" zoomScalePageLayoutView="0" workbookViewId="0" topLeftCell="A1">
      <selection activeCell="J27" sqref="J27"/>
    </sheetView>
  </sheetViews>
  <sheetFormatPr defaultColWidth="9.140625" defaultRowHeight="12.75"/>
  <cols>
    <col min="1" max="1" width="71.00390625" style="0" customWidth="1"/>
    <col min="2" max="2" width="18.8515625" style="0" customWidth="1"/>
    <col min="3" max="3" width="17.421875" style="0" customWidth="1"/>
    <col min="4" max="4" width="19.57421875" style="0" customWidth="1"/>
  </cols>
  <sheetData>
    <row r="1" spans="1:4" ht="12.75">
      <c r="A1" s="559" t="str">
        <f>Parâmetros!A7</f>
        <v>Município de Ivoti</v>
      </c>
      <c r="B1" s="559"/>
      <c r="C1" s="559"/>
      <c r="D1" s="559"/>
    </row>
    <row r="2" spans="1:4" ht="12.75">
      <c r="A2" s="560" t="str">
        <f>Parâmetros!A8</f>
        <v>LEI DE DIRETRIZES ORÇAMENTÁRIAS  PARA 2024</v>
      </c>
      <c r="B2" s="560"/>
      <c r="C2" s="560"/>
      <c r="D2" s="560"/>
    </row>
    <row r="3" spans="1:4" ht="13.5" customHeight="1">
      <c r="A3" s="561" t="s">
        <v>344</v>
      </c>
      <c r="B3" s="561"/>
      <c r="C3" s="561"/>
      <c r="D3" s="561"/>
    </row>
    <row r="4" spans="1:4" ht="15">
      <c r="A4" s="165"/>
      <c r="B4" s="166"/>
      <c r="C4" s="166"/>
      <c r="D4" s="166"/>
    </row>
    <row r="5" spans="1:4" ht="12.75" customHeight="1">
      <c r="A5" s="557" t="s">
        <v>345</v>
      </c>
      <c r="B5" s="558"/>
      <c r="C5" s="558"/>
      <c r="D5" s="558"/>
    </row>
    <row r="6" spans="1:4" ht="12.75">
      <c r="A6" s="557"/>
      <c r="B6" s="167">
        <f>Parâmetros!E10</f>
        <v>2024</v>
      </c>
      <c r="C6" s="167">
        <f>Parâmetros!F10</f>
        <v>2025</v>
      </c>
      <c r="D6" s="168">
        <f>Parâmetros!G10</f>
        <v>2026</v>
      </c>
    </row>
    <row r="7" spans="1:4" ht="12.75">
      <c r="A7" s="169" t="s">
        <v>346</v>
      </c>
      <c r="B7" s="170">
        <f>RCL!B14*0.54</f>
        <v>73367731.01320855</v>
      </c>
      <c r="C7" s="170">
        <f>RCL!C14*0.54</f>
        <v>77733424.94568661</v>
      </c>
      <c r="D7" s="170">
        <f>RCL!D14*0.54</f>
        <v>81447275.45917273</v>
      </c>
    </row>
    <row r="8" spans="1:4" ht="12.75">
      <c r="A8" s="169" t="s">
        <v>347</v>
      </c>
      <c r="B8" s="170">
        <f>B7*0.95</f>
        <v>69699344.46254812</v>
      </c>
      <c r="C8" s="170">
        <f>C7*0.95</f>
        <v>73846753.69840227</v>
      </c>
      <c r="D8" s="170">
        <f>D7*0.95</f>
        <v>77374911.68621409</v>
      </c>
    </row>
    <row r="9" spans="1:4" ht="12.75">
      <c r="A9" s="169" t="s">
        <v>348</v>
      </c>
      <c r="B9" s="170">
        <f>B7*0.9</f>
        <v>66030957.9118877</v>
      </c>
      <c r="C9" s="170">
        <f>C7*0.9</f>
        <v>69960082.45111795</v>
      </c>
      <c r="D9" s="170">
        <f>D7*0.9</f>
        <v>73302547.91325545</v>
      </c>
    </row>
    <row r="10" spans="1:4" ht="12.75">
      <c r="A10" s="562"/>
      <c r="B10" s="562"/>
      <c r="C10" s="562"/>
      <c r="D10" s="562"/>
    </row>
    <row r="11" spans="1:4" ht="12.75">
      <c r="A11" s="171"/>
      <c r="B11" s="172"/>
      <c r="C11" s="172"/>
      <c r="D11" s="172"/>
    </row>
    <row r="12" spans="1:4" ht="12.75" customHeight="1">
      <c r="A12" s="557" t="s">
        <v>349</v>
      </c>
      <c r="B12" s="558"/>
      <c r="C12" s="558"/>
      <c r="D12" s="558"/>
    </row>
    <row r="13" spans="1:4" ht="12.75">
      <c r="A13" s="557"/>
      <c r="B13" s="167">
        <f>Parâmetros!E10</f>
        <v>2024</v>
      </c>
      <c r="C13" s="167">
        <f>Parâmetros!F10</f>
        <v>2025</v>
      </c>
      <c r="D13" s="167">
        <f>Parâmetros!G10</f>
        <v>2026</v>
      </c>
    </row>
    <row r="14" spans="1:4" ht="12.75">
      <c r="A14" s="173" t="s">
        <v>350</v>
      </c>
      <c r="B14" s="170">
        <f>RCL!B14*0.06</f>
        <v>8151970.112578727</v>
      </c>
      <c r="C14" s="170">
        <f>RCL!C14*0.06</f>
        <v>8637047.2161874</v>
      </c>
      <c r="D14" s="170">
        <f>RCL!D14*0.06</f>
        <v>9049697.273241412</v>
      </c>
    </row>
    <row r="15" spans="1:4" ht="12.75">
      <c r="A15" s="174" t="s">
        <v>351</v>
      </c>
      <c r="B15" s="170">
        <f>B14*0.95</f>
        <v>7744371.60694979</v>
      </c>
      <c r="C15" s="170">
        <f>C14*0.95</f>
        <v>8205194.85537803</v>
      </c>
      <c r="D15" s="170">
        <f>D14*0.95</f>
        <v>8597212.40957934</v>
      </c>
    </row>
    <row r="16" spans="1:4" ht="12.75">
      <c r="A16" s="175" t="s">
        <v>352</v>
      </c>
      <c r="B16" s="170">
        <f>B14*0.9</f>
        <v>7336773.101320854</v>
      </c>
      <c r="C16" s="170">
        <f>C14*0.9</f>
        <v>7773342.494568661</v>
      </c>
      <c r="D16" s="170">
        <f>D14*0.9</f>
        <v>8144727.545917271</v>
      </c>
    </row>
    <row r="19" spans="1:4" ht="12.75">
      <c r="A19" s="176"/>
      <c r="B19" s="177"/>
      <c r="C19" s="177"/>
      <c r="D19" s="177"/>
    </row>
    <row r="20" spans="1:4" ht="12.75">
      <c r="A20" s="177"/>
      <c r="B20" s="177"/>
      <c r="C20" s="177"/>
      <c r="D20" s="177"/>
    </row>
    <row r="21" spans="1:4" ht="12.75">
      <c r="A21" s="177"/>
      <c r="B21" s="177"/>
      <c r="C21" s="177"/>
      <c r="D21" s="177"/>
    </row>
    <row r="22" spans="1:4" ht="12.75" hidden="1">
      <c r="A22" s="177"/>
      <c r="B22" s="177"/>
      <c r="C22" s="177"/>
      <c r="D22" s="177"/>
    </row>
    <row r="23" spans="1:4" ht="12.75" hidden="1">
      <c r="A23" s="177"/>
      <c r="B23" s="177"/>
      <c r="C23" s="177"/>
      <c r="D23" s="177"/>
    </row>
    <row r="24" spans="1:4" ht="12.75" hidden="1">
      <c r="A24" s="177"/>
      <c r="B24" s="177"/>
      <c r="C24" s="177"/>
      <c r="D24" s="177"/>
    </row>
    <row r="25" spans="1:4" ht="12.75" hidden="1">
      <c r="A25" s="177"/>
      <c r="B25" s="177"/>
      <c r="C25" s="177"/>
      <c r="D25" s="177"/>
    </row>
    <row r="26" spans="1:4" ht="12.75">
      <c r="A26" s="177"/>
      <c r="B26" s="177"/>
      <c r="C26" s="177"/>
      <c r="D26" s="177"/>
    </row>
    <row r="27" spans="1:4" ht="12.75">
      <c r="A27" s="177"/>
      <c r="B27" s="177"/>
      <c r="C27" s="177"/>
      <c r="D27" s="177"/>
    </row>
    <row r="28" spans="1:4" ht="12.75">
      <c r="A28" s="177"/>
      <c r="B28" s="177"/>
      <c r="C28" s="177"/>
      <c r="D28" s="177"/>
    </row>
    <row r="29" spans="1:4" ht="12.75">
      <c r="A29" s="177"/>
      <c r="B29" s="177"/>
      <c r="C29" s="177"/>
      <c r="D29" s="177"/>
    </row>
    <row r="30" spans="1:4" ht="12.75">
      <c r="A30" s="177"/>
      <c r="B30" s="177"/>
      <c r="C30" s="177"/>
      <c r="D30" s="177"/>
    </row>
    <row r="31" spans="1:4" ht="12.75">
      <c r="A31" s="177"/>
      <c r="B31" s="177"/>
      <c r="C31" s="177"/>
      <c r="D31" s="177"/>
    </row>
    <row r="32" spans="1:4" ht="12.75">
      <c r="A32" s="177"/>
      <c r="B32" s="177"/>
      <c r="C32" s="177"/>
      <c r="D32" s="177"/>
    </row>
    <row r="33" spans="1:4" ht="12.75">
      <c r="A33" s="177"/>
      <c r="B33" s="177"/>
      <c r="C33" s="177"/>
      <c r="D33" s="177"/>
    </row>
    <row r="34" spans="1:4" ht="0.75" customHeight="1">
      <c r="A34" s="177"/>
      <c r="B34" s="177"/>
      <c r="C34" s="177"/>
      <c r="D34" s="177"/>
    </row>
    <row r="35" spans="1:4" ht="12.75" customHeight="1" hidden="1">
      <c r="A35" s="177"/>
      <c r="B35" s="177"/>
      <c r="C35" s="177"/>
      <c r="D35" s="177"/>
    </row>
    <row r="36" spans="1:4" ht="12.75" customHeight="1" hidden="1">
      <c r="A36" s="177"/>
      <c r="B36" s="177"/>
      <c r="C36" s="177"/>
      <c r="D36" s="177"/>
    </row>
    <row r="37" spans="1:4" ht="12.75" customHeight="1" hidden="1">
      <c r="A37" s="177"/>
      <c r="B37" s="177"/>
      <c r="C37" s="177"/>
      <c r="D37" s="177"/>
    </row>
    <row r="38" spans="1:4" ht="12.75" customHeight="1" hidden="1">
      <c r="A38" s="177"/>
      <c r="B38" s="177"/>
      <c r="C38" s="177"/>
      <c r="D38" s="177"/>
    </row>
    <row r="39" spans="1:4" ht="12.75" customHeight="1" hidden="1">
      <c r="A39" s="177"/>
      <c r="B39" s="177"/>
      <c r="C39" s="177"/>
      <c r="D39" s="177"/>
    </row>
    <row r="40" spans="1:4" ht="12.75" customHeight="1" hidden="1">
      <c r="A40" s="177"/>
      <c r="B40" s="177"/>
      <c r="C40" s="177"/>
      <c r="D40" s="177"/>
    </row>
    <row r="41" spans="1:4" ht="12.75" customHeight="1" hidden="1">
      <c r="A41" s="177"/>
      <c r="B41" s="177"/>
      <c r="C41" s="177"/>
      <c r="D41" s="177"/>
    </row>
  </sheetData>
  <sheetProtection selectLockedCells="1" selectUnlockedCells="1"/>
  <mergeCells count="8">
    <mergeCell ref="A12:A13"/>
    <mergeCell ref="B12:D12"/>
    <mergeCell ref="A1:D1"/>
    <mergeCell ref="A2:D2"/>
    <mergeCell ref="A3:D3"/>
    <mergeCell ref="A5:A6"/>
    <mergeCell ref="B5:D5"/>
    <mergeCell ref="A10:D10"/>
  </mergeCells>
  <printOptions/>
  <pageMargins left="0.5118055555555555" right="0.5118055555555555" top="0.7875" bottom="0.7875" header="0.5118055555555555" footer="0.5118055555555555"/>
  <pageSetup horizontalDpi="300" verticalDpi="300" orientation="portrait" paperSize="9" scale="70"/>
  <legacyDrawing r:id="rId2"/>
  <oleObjects>
    <oleObject progId="" shapeId="42088" r:id="rId1"/>
  </oleObjects>
</worksheet>
</file>

<file path=xl/worksheets/sheet6.xml><?xml version="1.0" encoding="utf-8"?>
<worksheet xmlns="http://schemas.openxmlformats.org/spreadsheetml/2006/main" xmlns:r="http://schemas.openxmlformats.org/officeDocument/2006/relationships">
  <sheetPr codeName="Plan6"/>
  <dimension ref="A1:J47"/>
  <sheetViews>
    <sheetView showGridLines="0" zoomScale="120" zoomScaleNormal="120" zoomScalePageLayoutView="0" workbookViewId="0" topLeftCell="A7">
      <selection activeCell="E12" sqref="E12"/>
    </sheetView>
  </sheetViews>
  <sheetFormatPr defaultColWidth="31.7109375" defaultRowHeight="12.75"/>
  <cols>
    <col min="1" max="1" width="54.8515625" style="1" customWidth="1"/>
    <col min="2" max="2" width="17.140625" style="178" customWidth="1"/>
    <col min="3" max="3" width="16.28125" style="179" customWidth="1"/>
    <col min="4" max="4" width="16.421875" style="1" customWidth="1"/>
    <col min="5" max="6" width="17.140625" style="1" customWidth="1"/>
    <col min="7" max="7" width="16.7109375" style="1" customWidth="1"/>
    <col min="8" max="18" width="13.421875" style="1" customWidth="1"/>
    <col min="19" max="16384" width="31.7109375" style="1" customWidth="1"/>
  </cols>
  <sheetData>
    <row r="1" spans="1:10" ht="20.25">
      <c r="A1" s="566" t="str">
        <f>Parâmetros!A7</f>
        <v>Município de Ivoti</v>
      </c>
      <c r="B1" s="566"/>
      <c r="C1" s="566"/>
      <c r="D1" s="566"/>
      <c r="E1" s="566"/>
      <c r="F1" s="566"/>
      <c r="G1" s="566"/>
      <c r="H1" s="566"/>
      <c r="I1" s="566"/>
      <c r="J1" s="566"/>
    </row>
    <row r="2" spans="1:10" ht="20.25">
      <c r="A2" s="567" t="str">
        <f>Parâmetros!A8</f>
        <v>LEI DE DIRETRIZES ORÇAMENTÁRIAS  PARA 2024</v>
      </c>
      <c r="B2" s="567"/>
      <c r="C2" s="567"/>
      <c r="D2" s="567"/>
      <c r="E2" s="567"/>
      <c r="F2" s="567"/>
      <c r="G2" s="567"/>
      <c r="H2" s="567"/>
      <c r="I2" s="567"/>
      <c r="J2" s="567"/>
    </row>
    <row r="3" spans="1:10" ht="20.25">
      <c r="A3" s="568" t="s">
        <v>353</v>
      </c>
      <c r="B3" s="568"/>
      <c r="C3" s="568"/>
      <c r="D3" s="568"/>
      <c r="E3" s="568"/>
      <c r="F3" s="568"/>
      <c r="G3" s="568"/>
      <c r="H3" s="568"/>
      <c r="I3" s="568"/>
      <c r="J3" s="568"/>
    </row>
    <row r="4" spans="1:3" ht="12">
      <c r="A4" s="180"/>
      <c r="C4" s="1"/>
    </row>
    <row r="5" spans="1:7" ht="15" customHeight="1">
      <c r="A5" s="569" t="s">
        <v>354</v>
      </c>
      <c r="B5" s="181">
        <f>Parâmetros!B10</f>
        <v>2021</v>
      </c>
      <c r="C5" s="181">
        <f>B5+1</f>
        <v>2022</v>
      </c>
      <c r="D5" s="181">
        <f>C5+1</f>
        <v>2023</v>
      </c>
      <c r="E5" s="181">
        <f>D5+1</f>
        <v>2024</v>
      </c>
      <c r="F5" s="181">
        <f>E5+1</f>
        <v>2025</v>
      </c>
      <c r="G5" s="181">
        <f>F5+1</f>
        <v>2026</v>
      </c>
    </row>
    <row r="6" spans="1:7" ht="39.75" customHeight="1">
      <c r="A6" s="569"/>
      <c r="B6" s="182" t="s">
        <v>355</v>
      </c>
      <c r="C6" s="183" t="s">
        <v>355</v>
      </c>
      <c r="D6" s="183" t="s">
        <v>356</v>
      </c>
      <c r="E6" s="183" t="s">
        <v>357</v>
      </c>
      <c r="F6" s="183" t="s">
        <v>357</v>
      </c>
      <c r="G6" s="183" t="s">
        <v>357</v>
      </c>
    </row>
    <row r="7" spans="1:7" ht="21.75" customHeight="1">
      <c r="A7" s="184" t="s">
        <v>358</v>
      </c>
      <c r="B7" s="185">
        <f aca="true" t="shared" si="0" ref="B7:G7">B8+B9+B10</f>
        <v>1012500</v>
      </c>
      <c r="C7" s="185">
        <f t="shared" si="0"/>
        <v>675000</v>
      </c>
      <c r="D7" s="185">
        <f t="shared" si="0"/>
        <v>337500</v>
      </c>
      <c r="E7" s="186">
        <f t="shared" si="0"/>
        <v>675000</v>
      </c>
      <c r="F7" s="186">
        <f t="shared" si="0"/>
        <v>562500</v>
      </c>
      <c r="G7" s="186">
        <f t="shared" si="0"/>
        <v>525000</v>
      </c>
    </row>
    <row r="8" spans="1:7" ht="22.5" customHeight="1">
      <c r="A8" s="184" t="s">
        <v>359</v>
      </c>
      <c r="B8" s="187">
        <v>0</v>
      </c>
      <c r="C8" s="187">
        <v>0</v>
      </c>
      <c r="D8" s="187">
        <v>0</v>
      </c>
      <c r="E8" s="188">
        <f aca="true" t="shared" si="1" ref="E8:G10">(B8+C8+D8)/3</f>
        <v>0</v>
      </c>
      <c r="F8" s="189">
        <f t="shared" si="1"/>
        <v>0</v>
      </c>
      <c r="G8" s="189">
        <f t="shared" si="1"/>
        <v>0</v>
      </c>
    </row>
    <row r="9" spans="1:7" ht="22.5" customHeight="1">
      <c r="A9" s="184" t="s">
        <v>360</v>
      </c>
      <c r="B9" s="187">
        <v>1012500</v>
      </c>
      <c r="C9" s="187">
        <v>675000</v>
      </c>
      <c r="D9" s="187">
        <f>(675000-337500)</f>
        <v>337500</v>
      </c>
      <c r="E9" s="189">
        <f t="shared" si="1"/>
        <v>675000</v>
      </c>
      <c r="F9" s="189">
        <f t="shared" si="1"/>
        <v>562500</v>
      </c>
      <c r="G9" s="189">
        <f t="shared" si="1"/>
        <v>525000</v>
      </c>
    </row>
    <row r="10" spans="1:7" ht="22.5" customHeight="1">
      <c r="A10" s="184" t="s">
        <v>361</v>
      </c>
      <c r="B10" s="187">
        <v>0</v>
      </c>
      <c r="C10" s="187">
        <v>0</v>
      </c>
      <c r="D10" s="187">
        <v>0</v>
      </c>
      <c r="E10" s="189">
        <f t="shared" si="1"/>
        <v>0</v>
      </c>
      <c r="F10" s="189">
        <f t="shared" si="1"/>
        <v>0</v>
      </c>
      <c r="G10" s="189">
        <f t="shared" si="1"/>
        <v>0</v>
      </c>
    </row>
    <row r="11" spans="1:7" ht="15">
      <c r="A11" s="184" t="s">
        <v>362</v>
      </c>
      <c r="B11" s="185">
        <f>B12-B13+B15</f>
        <v>37626259.25</v>
      </c>
      <c r="C11" s="185">
        <f>C12-C13-C14+C15</f>
        <v>46868924.18</v>
      </c>
      <c r="D11" s="185">
        <f>D12-D13-D14+D15</f>
        <v>53382671.12</v>
      </c>
      <c r="E11" s="186">
        <f>E12-E13+E15</f>
        <v>46248484.43333334</v>
      </c>
      <c r="F11" s="186">
        <f>F12-F13+F15</f>
        <v>49122559.494444445</v>
      </c>
      <c r="G11" s="186">
        <f>G12-G13+G15</f>
        <v>49651211.002592586</v>
      </c>
    </row>
    <row r="12" spans="1:7" ht="15">
      <c r="A12" s="184" t="s">
        <v>363</v>
      </c>
      <c r="B12" s="187">
        <v>40676500.43</v>
      </c>
      <c r="C12" s="187">
        <v>47696611.23</v>
      </c>
      <c r="D12" s="187">
        <v>53840363.83</v>
      </c>
      <c r="E12" s="189">
        <f aca="true" t="shared" si="2" ref="E12:G13">(B12+C12+D12)/3</f>
        <v>47404491.830000006</v>
      </c>
      <c r="F12" s="189">
        <f t="shared" si="2"/>
        <v>49647155.63</v>
      </c>
      <c r="G12" s="189">
        <f t="shared" si="2"/>
        <v>50297337.096666664</v>
      </c>
    </row>
    <row r="13" spans="1:7" ht="15">
      <c r="A13" s="184" t="s">
        <v>364</v>
      </c>
      <c r="B13" s="187">
        <v>3071403.01</v>
      </c>
      <c r="C13" s="187">
        <v>176402.21</v>
      </c>
      <c r="D13" s="187">
        <v>273170.41</v>
      </c>
      <c r="E13" s="189">
        <f t="shared" si="2"/>
        <v>1173658.5433333332</v>
      </c>
      <c r="F13" s="189">
        <f t="shared" si="2"/>
        <v>541077.0544444444</v>
      </c>
      <c r="G13" s="189">
        <f t="shared" si="2"/>
        <v>662635.3359259259</v>
      </c>
    </row>
    <row r="14" spans="1:7" ht="15">
      <c r="A14" s="184" t="s">
        <v>365</v>
      </c>
      <c r="B14" s="187"/>
      <c r="C14" s="187">
        <v>667680.79</v>
      </c>
      <c r="D14" s="187">
        <v>199917.96</v>
      </c>
      <c r="E14" s="189"/>
      <c r="F14" s="189"/>
      <c r="G14" s="189"/>
    </row>
    <row r="15" spans="1:7" ht="15">
      <c r="A15" s="184" t="s">
        <v>366</v>
      </c>
      <c r="B15" s="187">
        <v>21161.83</v>
      </c>
      <c r="C15" s="187">
        <v>16395.95</v>
      </c>
      <c r="D15" s="187">
        <v>15395.66</v>
      </c>
      <c r="E15" s="189">
        <f>(B15+C15+D15)/3</f>
        <v>17651.146666666667</v>
      </c>
      <c r="F15" s="189">
        <f>(C15+D15+E15)/3</f>
        <v>16480.91888888889</v>
      </c>
      <c r="G15" s="189">
        <f>(D15+E15+F15)/3</f>
        <v>16509.241851851853</v>
      </c>
    </row>
    <row r="16" spans="1:7" ht="20.25" customHeight="1">
      <c r="A16" s="184" t="s">
        <v>367</v>
      </c>
      <c r="B16" s="190">
        <f aca="true" t="shared" si="3" ref="B16:G16">B7-B11</f>
        <v>-36613759.25</v>
      </c>
      <c r="C16" s="190">
        <f t="shared" si="3"/>
        <v>-46193924.18</v>
      </c>
      <c r="D16" s="191">
        <f t="shared" si="3"/>
        <v>-53045171.12</v>
      </c>
      <c r="E16" s="191">
        <f t="shared" si="3"/>
        <v>-45573484.43333334</v>
      </c>
      <c r="F16" s="191">
        <f t="shared" si="3"/>
        <v>-48560059.494444445</v>
      </c>
      <c r="G16" s="191">
        <f t="shared" si="3"/>
        <v>-49126211.002592586</v>
      </c>
    </row>
    <row r="17" spans="1:7" ht="20.25" customHeight="1">
      <c r="A17" s="570" t="s">
        <v>368</v>
      </c>
      <c r="B17" s="570"/>
      <c r="C17" s="570"/>
      <c r="D17" s="570"/>
      <c r="E17" s="193">
        <f>E16/RCL!B12</f>
        <v>-0.3354292310003354</v>
      </c>
      <c r="F17" s="193">
        <f>F16/RCL!C12</f>
        <v>-0.3373379231047901</v>
      </c>
      <c r="G17" s="193">
        <f>G16/RCL!D12</f>
        <v>-0.325709531618376</v>
      </c>
    </row>
    <row r="18" spans="1:7" s="196" customFormat="1" ht="15">
      <c r="A18" s="194"/>
      <c r="B18" s="195"/>
      <c r="C18" s="195"/>
      <c r="D18" s="195"/>
      <c r="E18" s="195"/>
      <c r="F18" s="195"/>
      <c r="G18" s="195"/>
    </row>
    <row r="19" spans="1:7" ht="15">
      <c r="A19" s="197" t="s">
        <v>369</v>
      </c>
      <c r="B19" s="198"/>
      <c r="C19" s="199"/>
      <c r="D19" s="199"/>
      <c r="E19" s="199"/>
      <c r="F19" s="199"/>
      <c r="G19" s="200" t="s">
        <v>370</v>
      </c>
    </row>
    <row r="20" spans="1:7" ht="15" customHeight="1">
      <c r="A20" s="569" t="s">
        <v>371</v>
      </c>
      <c r="B20" s="181">
        <f>Parâmetros!B10</f>
        <v>2021</v>
      </c>
      <c r="C20" s="181">
        <f>B20+1</f>
        <v>2022</v>
      </c>
      <c r="D20" s="181">
        <f>C20+1</f>
        <v>2023</v>
      </c>
      <c r="E20" s="181">
        <f>D20+1</f>
        <v>2024</v>
      </c>
      <c r="F20" s="181">
        <f>E20+1</f>
        <v>2025</v>
      </c>
      <c r="G20" s="181">
        <f>F20+1</f>
        <v>2026</v>
      </c>
    </row>
    <row r="21" spans="1:7" ht="15">
      <c r="A21" s="569"/>
      <c r="B21" s="181" t="s">
        <v>372</v>
      </c>
      <c r="C21" s="192" t="s">
        <v>372</v>
      </c>
      <c r="D21" s="192" t="s">
        <v>356</v>
      </c>
      <c r="E21" s="192" t="s">
        <v>373</v>
      </c>
      <c r="F21" s="192" t="s">
        <v>373</v>
      </c>
      <c r="G21" s="192" t="s">
        <v>373</v>
      </c>
    </row>
    <row r="22" spans="1:7" s="204" customFormat="1" ht="15">
      <c r="A22" s="201" t="s">
        <v>374</v>
      </c>
      <c r="B22" s="202">
        <f>Projeções!E77</f>
        <v>0</v>
      </c>
      <c r="C22" s="202">
        <f>Projeções!F77</f>
        <v>0</v>
      </c>
      <c r="D22" s="202">
        <f>Projeções!G77</f>
        <v>0</v>
      </c>
      <c r="E22" s="203">
        <v>0</v>
      </c>
      <c r="F22" s="203">
        <v>0</v>
      </c>
      <c r="G22" s="203">
        <v>0</v>
      </c>
    </row>
    <row r="23" spans="1:7" s="204" customFormat="1" ht="15">
      <c r="A23" s="184" t="s">
        <v>375</v>
      </c>
      <c r="B23" s="190">
        <f>Projeções!E127</f>
        <v>14158.78</v>
      </c>
      <c r="C23" s="190">
        <f>Projeções!F127</f>
        <v>0</v>
      </c>
      <c r="D23" s="190">
        <f>Projeções!G127</f>
        <v>0</v>
      </c>
      <c r="E23" s="190">
        <f>Projeções!H127</f>
        <v>6316.235841935284</v>
      </c>
      <c r="F23" s="190">
        <f>Projeções!I127</f>
        <v>6884.6970677094605</v>
      </c>
      <c r="G23" s="190">
        <f>Projeções!J127</f>
        <v>7478.846424652787</v>
      </c>
    </row>
    <row r="24" spans="1:7" s="204" customFormat="1" ht="15">
      <c r="A24" s="184" t="s">
        <v>376</v>
      </c>
      <c r="B24" s="190">
        <f>Projeções!E149</f>
        <v>337500</v>
      </c>
      <c r="C24" s="190">
        <f>Projeções!F149</f>
        <v>337500</v>
      </c>
      <c r="D24" s="190">
        <f>Projeções!G149</f>
        <v>337500</v>
      </c>
      <c r="E24" s="190">
        <f>Projeções!H149</f>
        <v>395444.68590349227</v>
      </c>
      <c r="F24" s="190">
        <f>Projeções!I149</f>
        <v>409680.694596018</v>
      </c>
      <c r="G24" s="190">
        <f>Projeções!J149</f>
        <v>424019.5189068786</v>
      </c>
    </row>
    <row r="25" spans="1:7" ht="15.75" customHeight="1" hidden="1">
      <c r="A25" s="205" t="s">
        <v>377</v>
      </c>
      <c r="B25" s="206"/>
      <c r="C25" s="206"/>
      <c r="D25" s="206"/>
      <c r="E25" s="206"/>
      <c r="F25" s="206"/>
      <c r="G25" s="206"/>
    </row>
    <row r="26" spans="1:7" ht="16.5" customHeight="1">
      <c r="A26" s="563" t="s">
        <v>378</v>
      </c>
      <c r="B26" s="563"/>
      <c r="C26" s="563"/>
      <c r="D26" s="563"/>
      <c r="E26" s="563"/>
      <c r="F26" s="563"/>
      <c r="G26" s="563"/>
    </row>
    <row r="27" spans="1:7" ht="30.75" customHeight="1">
      <c r="A27" s="564" t="s">
        <v>379</v>
      </c>
      <c r="B27" s="564"/>
      <c r="C27" s="564"/>
      <c r="D27" s="564"/>
      <c r="E27" s="564"/>
      <c r="F27" s="564"/>
      <c r="G27" s="564"/>
    </row>
    <row r="28" spans="1:7" ht="14.25">
      <c r="A28" s="565" t="s">
        <v>380</v>
      </c>
      <c r="B28" s="565"/>
      <c r="C28" s="565"/>
      <c r="D28" s="565"/>
      <c r="E28" s="565"/>
      <c r="F28" s="565"/>
      <c r="G28" s="565"/>
    </row>
    <row r="29" spans="1:3" ht="12">
      <c r="A29" s="180"/>
      <c r="C29" s="1"/>
    </row>
    <row r="30" spans="1:3" ht="12">
      <c r="A30" s="180"/>
      <c r="C30" s="1"/>
    </row>
    <row r="31" spans="1:3" ht="12">
      <c r="A31" s="180"/>
      <c r="C31" s="1"/>
    </row>
    <row r="32" spans="1:3" ht="12">
      <c r="A32" s="180"/>
      <c r="C32" s="1"/>
    </row>
    <row r="33" spans="1:3" ht="12">
      <c r="A33" s="180"/>
      <c r="C33" s="1"/>
    </row>
    <row r="34" ht="12">
      <c r="A34" s="207"/>
    </row>
    <row r="35" ht="12">
      <c r="A35" s="207"/>
    </row>
    <row r="36" ht="12">
      <c r="A36" s="207"/>
    </row>
    <row r="37" ht="12">
      <c r="A37" s="207"/>
    </row>
    <row r="38" ht="12">
      <c r="A38" s="207"/>
    </row>
    <row r="39" ht="12">
      <c r="A39" s="207"/>
    </row>
    <row r="40" ht="12">
      <c r="A40" s="207"/>
    </row>
    <row r="41" ht="12">
      <c r="A41" s="207"/>
    </row>
    <row r="42" ht="12">
      <c r="A42" s="207"/>
    </row>
    <row r="43" ht="12">
      <c r="A43" s="207"/>
    </row>
    <row r="44" ht="12">
      <c r="A44" s="207"/>
    </row>
    <row r="45" ht="12">
      <c r="A45" s="207"/>
    </row>
    <row r="46" ht="12">
      <c r="A46" s="207"/>
    </row>
    <row r="47" ht="12">
      <c r="A47" s="207"/>
    </row>
  </sheetData>
  <sheetProtection selectLockedCells="1" selectUnlockedCells="1"/>
  <mergeCells count="9">
    <mergeCell ref="A26:G26"/>
    <mergeCell ref="A27:G27"/>
    <mergeCell ref="A28:G28"/>
    <mergeCell ref="A1:J1"/>
    <mergeCell ref="A2:J2"/>
    <mergeCell ref="A3:J3"/>
    <mergeCell ref="A5:A6"/>
    <mergeCell ref="A17:D17"/>
    <mergeCell ref="A20:A21"/>
  </mergeCells>
  <printOptions/>
  <pageMargins left="0.7875" right="0.7875" top="0.9840277777777777" bottom="0.9840277777777777" header="0.5118055555555555" footer="0.5118055555555555"/>
  <pageSetup horizontalDpi="300" verticalDpi="300" orientation="portrait" scale="61"/>
  <drawing r:id="rId1"/>
</worksheet>
</file>

<file path=xl/worksheets/sheet7.xml><?xml version="1.0" encoding="utf-8"?>
<worksheet xmlns="http://schemas.openxmlformats.org/spreadsheetml/2006/main" xmlns:r="http://schemas.openxmlformats.org/officeDocument/2006/relationships">
  <sheetPr codeName=" Dem-1-Metas"/>
  <dimension ref="A1:M32"/>
  <sheetViews>
    <sheetView zoomScale="120" zoomScaleNormal="120" zoomScalePageLayoutView="0" workbookViewId="0" topLeftCell="A10">
      <selection activeCell="Q24" sqref="Q24"/>
    </sheetView>
  </sheetViews>
  <sheetFormatPr defaultColWidth="8.8515625" defaultRowHeight="12.75"/>
  <cols>
    <col min="1" max="1" width="37.8515625" style="208" customWidth="1"/>
    <col min="2" max="3" width="14.28125" style="208" customWidth="1"/>
    <col min="4" max="4" width="5.8515625" style="209" customWidth="1"/>
    <col min="5" max="5" width="8.00390625" style="208" customWidth="1"/>
    <col min="6" max="6" width="14.28125" style="208" customWidth="1"/>
    <col min="7" max="7" width="13.7109375" style="208" customWidth="1"/>
    <col min="8" max="8" width="5.7109375" style="209" customWidth="1"/>
    <col min="9" max="9" width="10.421875" style="208" customWidth="1"/>
    <col min="10" max="11" width="13.7109375" style="208" customWidth="1"/>
    <col min="12" max="12" width="5.421875" style="209" customWidth="1"/>
    <col min="13" max="13" width="9.7109375" style="208" customWidth="1"/>
    <col min="14" max="16384" width="8.8515625" style="208" customWidth="1"/>
  </cols>
  <sheetData>
    <row r="1" spans="1:12" ht="12.75">
      <c r="A1" s="572" t="str">
        <f>Parâmetros!A7</f>
        <v>Município de Ivoti</v>
      </c>
      <c r="B1" s="572"/>
      <c r="C1" s="572"/>
      <c r="D1" s="572"/>
      <c r="E1" s="572"/>
      <c r="F1" s="572"/>
      <c r="G1" s="572"/>
      <c r="H1" s="572"/>
      <c r="I1" s="572"/>
      <c r="J1" s="572"/>
      <c r="K1" s="572"/>
      <c r="L1" s="572"/>
    </row>
    <row r="2" spans="1:12" ht="12.75">
      <c r="A2" s="573" t="s">
        <v>381</v>
      </c>
      <c r="B2" s="573"/>
      <c r="C2" s="573"/>
      <c r="D2" s="573"/>
      <c r="E2" s="573"/>
      <c r="F2" s="573"/>
      <c r="G2" s="573"/>
      <c r="H2" s="573"/>
      <c r="I2" s="573"/>
      <c r="J2" s="573"/>
      <c r="K2" s="573"/>
      <c r="L2" s="573"/>
    </row>
    <row r="3" spans="1:12" ht="12.75">
      <c r="A3" s="573" t="s">
        <v>382</v>
      </c>
      <c r="B3" s="573"/>
      <c r="C3" s="573"/>
      <c r="D3" s="573"/>
      <c r="E3" s="573"/>
      <c r="F3" s="573"/>
      <c r="G3" s="573"/>
      <c r="H3" s="573"/>
      <c r="I3" s="573"/>
      <c r="J3" s="573"/>
      <c r="K3" s="573"/>
      <c r="L3" s="573"/>
    </row>
    <row r="4" spans="1:12" ht="12.75">
      <c r="A4" s="573" t="s">
        <v>383</v>
      </c>
      <c r="B4" s="573"/>
      <c r="C4" s="573"/>
      <c r="D4" s="573"/>
      <c r="E4" s="573"/>
      <c r="F4" s="573"/>
      <c r="G4" s="573"/>
      <c r="H4" s="573"/>
      <c r="I4" s="573"/>
      <c r="J4" s="573"/>
      <c r="K4" s="573"/>
      <c r="L4" s="573"/>
    </row>
    <row r="5" spans="1:12" ht="12.75">
      <c r="A5" s="573">
        <f>Parâmetros!E10</f>
        <v>2024</v>
      </c>
      <c r="B5" s="573"/>
      <c r="C5" s="573"/>
      <c r="D5" s="573"/>
      <c r="E5" s="573"/>
      <c r="F5" s="573"/>
      <c r="G5" s="573"/>
      <c r="H5" s="573"/>
      <c r="I5" s="573"/>
      <c r="J5" s="573"/>
      <c r="K5" s="573"/>
      <c r="L5" s="573"/>
    </row>
    <row r="6" spans="1:13" ht="12.75" customHeight="1">
      <c r="A6" s="574" t="s">
        <v>384</v>
      </c>
      <c r="B6" s="574"/>
      <c r="C6" s="574"/>
      <c r="D6" s="574"/>
      <c r="E6" s="574"/>
      <c r="F6" s="574"/>
      <c r="G6" s="574"/>
      <c r="H6" s="574"/>
      <c r="I6" s="210"/>
      <c r="J6" s="575">
        <v>1</v>
      </c>
      <c r="K6" s="575"/>
      <c r="L6" s="575"/>
      <c r="M6" s="575"/>
    </row>
    <row r="7" spans="1:13" s="211" customFormat="1" ht="15.75" customHeight="1">
      <c r="A7" s="579" t="s">
        <v>334</v>
      </c>
      <c r="B7" s="580">
        <f>Parâmetros!E10</f>
        <v>2024</v>
      </c>
      <c r="C7" s="580"/>
      <c r="D7" s="580"/>
      <c r="E7" s="580"/>
      <c r="F7" s="580">
        <f>B7+1</f>
        <v>2025</v>
      </c>
      <c r="G7" s="580"/>
      <c r="H7" s="580"/>
      <c r="I7" s="580"/>
      <c r="J7" s="580">
        <f>F7+1</f>
        <v>2026</v>
      </c>
      <c r="K7" s="580"/>
      <c r="L7" s="580"/>
      <c r="M7" s="580"/>
    </row>
    <row r="8" spans="1:13" ht="12.75">
      <c r="A8" s="579"/>
      <c r="B8" s="212" t="s">
        <v>385</v>
      </c>
      <c r="C8" s="213" t="s">
        <v>385</v>
      </c>
      <c r="D8" s="214" t="s">
        <v>386</v>
      </c>
      <c r="E8" s="213" t="s">
        <v>387</v>
      </c>
      <c r="F8" s="213" t="s">
        <v>385</v>
      </c>
      <c r="G8" s="213" t="s">
        <v>385</v>
      </c>
      <c r="H8" s="214" t="s">
        <v>386</v>
      </c>
      <c r="I8" s="213" t="s">
        <v>387</v>
      </c>
      <c r="J8" s="213" t="s">
        <v>385</v>
      </c>
      <c r="K8" s="213" t="s">
        <v>385</v>
      </c>
      <c r="L8" s="215" t="s">
        <v>386</v>
      </c>
      <c r="M8" s="216" t="s">
        <v>387</v>
      </c>
    </row>
    <row r="9" spans="1:13" ht="18.75" customHeight="1">
      <c r="A9" s="579"/>
      <c r="B9" s="217" t="s">
        <v>388</v>
      </c>
      <c r="C9" s="218" t="s">
        <v>389</v>
      </c>
      <c r="D9" s="219" t="s">
        <v>390</v>
      </c>
      <c r="E9" s="218" t="s">
        <v>391</v>
      </c>
      <c r="F9" s="218" t="s">
        <v>388</v>
      </c>
      <c r="G9" s="218" t="s">
        <v>389</v>
      </c>
      <c r="H9" s="219" t="s">
        <v>392</v>
      </c>
      <c r="I9" s="218" t="s">
        <v>393</v>
      </c>
      <c r="J9" s="218" t="s">
        <v>388</v>
      </c>
      <c r="K9" s="218" t="s">
        <v>389</v>
      </c>
      <c r="L9" s="220" t="s">
        <v>394</v>
      </c>
      <c r="M9" s="217" t="s">
        <v>395</v>
      </c>
    </row>
    <row r="10" spans="1:13" ht="12.75">
      <c r="A10" s="579"/>
      <c r="B10" s="221" t="s">
        <v>396</v>
      </c>
      <c r="C10" s="222"/>
      <c r="D10" s="223" t="s">
        <v>397</v>
      </c>
      <c r="E10" s="224" t="s">
        <v>397</v>
      </c>
      <c r="F10" s="225" t="s">
        <v>398</v>
      </c>
      <c r="G10" s="222"/>
      <c r="H10" s="223" t="s">
        <v>397</v>
      </c>
      <c r="I10" s="224" t="s">
        <v>397</v>
      </c>
      <c r="J10" s="225" t="s">
        <v>399</v>
      </c>
      <c r="K10" s="222"/>
      <c r="L10" s="226" t="s">
        <v>397</v>
      </c>
      <c r="M10" s="227" t="s">
        <v>397</v>
      </c>
    </row>
    <row r="11" spans="1:13" ht="12.75" customHeight="1">
      <c r="A11" s="228" t="s">
        <v>400</v>
      </c>
      <c r="B11" s="229">
        <f>Projeções!H107</f>
        <v>139600793.345218</v>
      </c>
      <c r="C11" s="230">
        <f>B11/(1+Parâmetros!E11)</f>
        <v>134334866.57546</v>
      </c>
      <c r="D11" s="571" t="s">
        <v>401</v>
      </c>
      <c r="E11" s="231">
        <f>B11/RCL!B12</f>
        <v>1.0274875257195306</v>
      </c>
      <c r="F11" s="229">
        <f>Projeções!I107</f>
        <v>147863799.42555243</v>
      </c>
      <c r="G11" s="230">
        <f>F11/((1+Parâmetros!E11)*(1+Parâmetros!F11))</f>
        <v>137341873.67320016</v>
      </c>
      <c r="H11" s="571" t="s">
        <v>401</v>
      </c>
      <c r="I11" s="231">
        <f>F11/RCL!C12</f>
        <v>1.0271829878277987</v>
      </c>
      <c r="J11" s="229">
        <f>Projeções!J107</f>
        <v>154926860.44640666</v>
      </c>
      <c r="K11" s="230">
        <f>J11/((1+Parâmetros!E11)*(1+Parâmetros!F11)*(1+Parâmetros!G11))</f>
        <v>139036067.86825582</v>
      </c>
      <c r="L11" s="571" t="s">
        <v>401</v>
      </c>
      <c r="M11" s="232">
        <f>J11/RCL!D12</f>
        <v>1.0271737657203317</v>
      </c>
    </row>
    <row r="12" spans="1:13" ht="12.75">
      <c r="A12" s="228" t="s">
        <v>402</v>
      </c>
      <c r="B12" s="229">
        <f>B13+B17</f>
        <v>134023463.77210395</v>
      </c>
      <c r="C12" s="233">
        <f>C13+C17</f>
        <v>128967921.25876054</v>
      </c>
      <c r="D12" s="571"/>
      <c r="E12" s="234">
        <f>B12/RCL!B12</f>
        <v>0.9864373538266671</v>
      </c>
      <c r="F12" s="229">
        <f>F13+F17</f>
        <v>141990697.83424523</v>
      </c>
      <c r="G12" s="233">
        <f>F12/((1+Parâmetros!E11)*(1+Parâmetros!F11))</f>
        <v>131886699.51998015</v>
      </c>
      <c r="H12" s="571"/>
      <c r="I12" s="234">
        <f>F12/RCL!C12</f>
        <v>0.9863836166239461</v>
      </c>
      <c r="J12" s="229">
        <f>J13+J17</f>
        <v>148743077.20562443</v>
      </c>
      <c r="K12" s="233">
        <f>K13+K17</f>
        <v>133486553.05932832</v>
      </c>
      <c r="L12" s="571"/>
      <c r="M12" s="235">
        <f>J12/RCL!D12</f>
        <v>0.986174936340259</v>
      </c>
    </row>
    <row r="13" spans="1:13" ht="12.75">
      <c r="A13" s="236" t="s">
        <v>403</v>
      </c>
      <c r="B13" s="237">
        <f>B14+B15+B16</f>
        <v>130630221.22543655</v>
      </c>
      <c r="C13" s="238">
        <f>C14+C15+C16</f>
        <v>125702676.31393048</v>
      </c>
      <c r="D13" s="571"/>
      <c r="E13" s="234">
        <f>B13/RCL!B12</f>
        <v>0.9614624643228535</v>
      </c>
      <c r="F13" s="237">
        <f>F14+F15+F16</f>
        <v>138431357.36192188</v>
      </c>
      <c r="G13" s="238">
        <f>G14+G15+G16</f>
        <v>128580640.2180489</v>
      </c>
      <c r="H13" s="571"/>
      <c r="I13" s="234">
        <f>F13/RCL!C12</f>
        <v>0.9616575241303043</v>
      </c>
      <c r="J13" s="237">
        <f>J14+J15+J16</f>
        <v>145010555.1839341</v>
      </c>
      <c r="K13" s="238">
        <f>K14+K15+K16</f>
        <v>130136874.48434022</v>
      </c>
      <c r="L13" s="571"/>
      <c r="M13" s="235">
        <f>J13/RCL!D12</f>
        <v>0.9614281061933976</v>
      </c>
    </row>
    <row r="14" spans="1:13" ht="12.75">
      <c r="A14" s="236" t="s">
        <v>404</v>
      </c>
      <c r="B14" s="237">
        <f>Projeções!H9+Projeções!H102</f>
        <v>30115056.673177477</v>
      </c>
      <c r="C14" s="238">
        <f>B14/(1+Parâmetros!E11)</f>
        <v>28979076.860255465</v>
      </c>
      <c r="D14" s="571"/>
      <c r="E14" s="234">
        <f>B14/RCL!B12</f>
        <v>0.22165235831796587</v>
      </c>
      <c r="F14" s="237">
        <f>Projeções!I9+Projeções!I102</f>
        <v>33754254.16429537</v>
      </c>
      <c r="G14" s="238">
        <f>F14/((1+Parâmetros!E11)*(1+Parâmetros!F11))</f>
        <v>31352315.64031228</v>
      </c>
      <c r="H14" s="571"/>
      <c r="I14" s="234">
        <f>F14/RCL!C12</f>
        <v>0.23448467967872452</v>
      </c>
      <c r="J14" s="237">
        <f>Projeções!J9+Projeções!J102</f>
        <v>37285158.58841564</v>
      </c>
      <c r="K14" s="238">
        <f>J14/((1+Parâmetros!E11)*(1+Parâmetros!F11)*(1+Parâmetros!G11))</f>
        <v>33460833.228276227</v>
      </c>
      <c r="L14" s="571"/>
      <c r="M14" s="235">
        <f>J14/RCL!D12</f>
        <v>0.24720269062698186</v>
      </c>
    </row>
    <row r="15" spans="1:13" ht="12.75">
      <c r="A15" s="236" t="s">
        <v>405</v>
      </c>
      <c r="B15" s="237">
        <f>Projeções!H37+Projeções!H103</f>
        <v>86189926.43115836</v>
      </c>
      <c r="C15" s="238">
        <f>B15/(1+Parâmetros!E11)</f>
        <v>82938728.28248496</v>
      </c>
      <c r="D15" s="571"/>
      <c r="E15" s="234">
        <f>B15/RCL!B12</f>
        <v>0.6343737175740976</v>
      </c>
      <c r="F15" s="237">
        <f>Projeções!I37+Projeções!I103</f>
        <v>89584053.25958115</v>
      </c>
      <c r="G15" s="238">
        <f>F15/((1+Parâmetros!E11)*(1+Parâmetros!F11))</f>
        <v>83209289.72277193</v>
      </c>
      <c r="H15" s="571"/>
      <c r="I15" s="234">
        <f>F15/RCL!C12</f>
        <v>0.6223241648489611</v>
      </c>
      <c r="J15" s="237">
        <f>Projeções!J37+Projeções!J103</f>
        <v>91825231.17752647</v>
      </c>
      <c r="K15" s="238">
        <f>J15/((1+Parâmetros!E11)*(1+Parâmetros!F11)*(1+Parâmetros!G11))</f>
        <v>82406750.10924464</v>
      </c>
      <c r="L15" s="571"/>
      <c r="M15" s="235">
        <f>J15/RCL!D12</f>
        <v>0.6088064279169192</v>
      </c>
    </row>
    <row r="16" spans="1:13" ht="12.75">
      <c r="A16" s="236" t="s">
        <v>406</v>
      </c>
      <c r="B16" s="237">
        <f>(Projeções!H8+Projeções!H95+Projeções!H102+Projeções!H103+Projeções!H104)-Projeções!H24-Projeções!H35-Projeções!H68-Projeções!H74-Projeções!H97-B14-B15</f>
        <v>14325238.121100709</v>
      </c>
      <c r="C16" s="238">
        <f>B16/(1+Parâmetros!E11)</f>
        <v>13784871.17119006</v>
      </c>
      <c r="D16" s="571"/>
      <c r="E16" s="234">
        <f>B16/RCL!B12</f>
        <v>0.10543638843079012</v>
      </c>
      <c r="F16" s="237">
        <f>(Projeções!I8+Projeções!I95+Projeções!I102+Projeções!I103+Projeções!I104)-Projeções!I24-Projeções!I35-Projeções!I68-Projeções!I74-Projeções!I97-F14-F15</f>
        <v>15093049.938045353</v>
      </c>
      <c r="G16" s="238">
        <f>F16/((1+Parâmetros!E11)*(1+Parâmetros!F11))</f>
        <v>14019034.854964685</v>
      </c>
      <c r="H16" s="571"/>
      <c r="I16" s="234">
        <f>F16/RCL!C12</f>
        <v>0.10484867960261854</v>
      </c>
      <c r="J16" s="237">
        <f>(Projeções!J8+Projeções!J95+Projeções!J102+Projeções!J103+Projeções!J104)-Projeções!J24-Projeções!J35-Projeções!J68-Projeções!J74-Projeções!J97-J14-J15</f>
        <v>15900165.41799198</v>
      </c>
      <c r="K16" s="238">
        <f>J16/((1+Parâmetros!E11)*(1+Parâmetros!F11)*(1+Parâmetros!G11))</f>
        <v>14269291.14681935</v>
      </c>
      <c r="L16" s="571"/>
      <c r="M16" s="235">
        <f>J16/RCL!D12</f>
        <v>0.10541898764949652</v>
      </c>
    </row>
    <row r="17" spans="1:13" ht="12.75">
      <c r="A17" s="236" t="s">
        <v>407</v>
      </c>
      <c r="B17" s="237">
        <f>Projeções!H76+Projeções!H98+Projeções!H105-Projeções!H77-Projeções!H79-Projeções!H80-Projeções!H83-Projeções!H94-Projeções!H100</f>
        <v>3393242.5466674003</v>
      </c>
      <c r="C17" s="238">
        <f>B17/(1+Parâmetros!E11)</f>
        <v>3265244.9448300623</v>
      </c>
      <c r="D17" s="571"/>
      <c r="E17" s="234">
        <f>B17/RCL!B12</f>
        <v>0.024974889503813526</v>
      </c>
      <c r="F17" s="237">
        <f>Projeções!I76+Projeções!I98+Projeções!I105-Projeções!I77-Projeções!I79-Projeções!I80-Projeções!I83-Projeções!I94-Projeções!I100</f>
        <v>3559340.4723233446</v>
      </c>
      <c r="G17" s="238">
        <f>F17/((1+Parâmetros!E11)*(1+Parâmetros!F11))</f>
        <v>3306059.301931231</v>
      </c>
      <c r="H17" s="571"/>
      <c r="I17" s="234">
        <f>F17/RCL!C12</f>
        <v>0.02472609249364175</v>
      </c>
      <c r="J17" s="237">
        <f>Projeções!J76+Projeções!J98+Projeções!J105-Projeções!J77-Projeções!J79-Projeções!J80-Projeções!J83-Projeções!J94-Projeções!J100</f>
        <v>3732522.021690353</v>
      </c>
      <c r="K17" s="238">
        <f>J17/((1+Parâmetros!E11)*(1+Parâmetros!F11)*(1+Parâmetros!G11))</f>
        <v>3349678.5749880974</v>
      </c>
      <c r="L17" s="571"/>
      <c r="M17" s="235">
        <f>J17/RCL!D12</f>
        <v>0.02474683014686153</v>
      </c>
    </row>
    <row r="18" spans="1:13" ht="12.75">
      <c r="A18" s="228" t="s">
        <v>408</v>
      </c>
      <c r="B18" s="229">
        <f>Projeções!H154</f>
        <v>133587521.91771352</v>
      </c>
      <c r="C18" s="233">
        <f>B18/(1+Parâmetros!E11)</f>
        <v>128548423.70834635</v>
      </c>
      <c r="D18" s="571"/>
      <c r="E18" s="234">
        <f>B18/RCL!B12</f>
        <v>0.9832287415645753</v>
      </c>
      <c r="F18" s="229">
        <f>Projeções!I154</f>
        <v>146729181.74151126</v>
      </c>
      <c r="G18" s="233">
        <f>F18/((1+Parâmetros!E11)*(1+Parâmetros!F11))</f>
        <v>136287994.90615672</v>
      </c>
      <c r="H18" s="571"/>
      <c r="I18" s="234">
        <f>F18/RCL!C12</f>
        <v>1.0193010046293185</v>
      </c>
      <c r="J18" s="229">
        <f>Projeções!J154</f>
        <v>156037819.6692486</v>
      </c>
      <c r="K18" s="233">
        <f>J18/((1+Parâmetros!E11)*(1+Parâmetros!F11)*(1+Parâmetros!G11))</f>
        <v>140033076.40157825</v>
      </c>
      <c r="L18" s="571"/>
      <c r="M18" s="235">
        <f>J18/RCL!D12</f>
        <v>1.0345394876177496</v>
      </c>
    </row>
    <row r="19" spans="1:13" ht="12.75">
      <c r="A19" s="228" t="s">
        <v>409</v>
      </c>
      <c r="B19" s="229">
        <f>B20+B23+B24</f>
        <v>133185760.99596809</v>
      </c>
      <c r="C19" s="233">
        <f>C20+C23+C24</f>
        <v>128161817.74053897</v>
      </c>
      <c r="D19" s="571"/>
      <c r="E19" s="234">
        <f>B19/RCL!B12</f>
        <v>0.9802717072560797</v>
      </c>
      <c r="F19" s="229">
        <f>F20+F23+F24</f>
        <v>146312616.34984753</v>
      </c>
      <c r="G19" s="233">
        <f>G20+G23+G24</f>
        <v>135901072.13249087</v>
      </c>
      <c r="H19" s="571"/>
      <c r="I19" s="234">
        <f>F19/RCL!C12</f>
        <v>1.0164072004304736</v>
      </c>
      <c r="J19" s="229">
        <f>J20+J23+J24</f>
        <v>155606321.30391708</v>
      </c>
      <c r="K19" s="233">
        <f>K20+K23+K24</f>
        <v>139645836.6690076</v>
      </c>
      <c r="L19" s="571"/>
      <c r="M19" s="235">
        <f>J19/RCL!D12</f>
        <v>1.03167862927761</v>
      </c>
    </row>
    <row r="20" spans="1:13" ht="12.75">
      <c r="A20" s="236" t="s">
        <v>410</v>
      </c>
      <c r="B20" s="237">
        <f>B21+B22</f>
        <v>103323161.07522094</v>
      </c>
      <c r="C20" s="238">
        <f>C21+C22</f>
        <v>99425674.62973532</v>
      </c>
      <c r="D20" s="571"/>
      <c r="E20" s="234">
        <f>B20/RCL!B12</f>
        <v>0.7604774770883197</v>
      </c>
      <c r="F20" s="237">
        <f>F21+F22</f>
        <v>110874682.13650596</v>
      </c>
      <c r="G20" s="238">
        <f>G21+G22</f>
        <v>102984886.40700188</v>
      </c>
      <c r="H20" s="571"/>
      <c r="I20" s="234">
        <f>F20/RCL!C12</f>
        <v>0.7702263009194156</v>
      </c>
      <c r="J20" s="237">
        <f>J21+J22</f>
        <v>116377539.17998439</v>
      </c>
      <c r="K20" s="238">
        <f>K21+K22</f>
        <v>104440736.67500827</v>
      </c>
      <c r="L20" s="571"/>
      <c r="M20" s="235">
        <f>J20/RCL!D12</f>
        <v>0.7715896057037964</v>
      </c>
    </row>
    <row r="21" spans="1:13" ht="12.75">
      <c r="A21" s="236" t="s">
        <v>411</v>
      </c>
      <c r="B21" s="238">
        <f>Projeções!H122-Projeções!H125</f>
        <v>52709929.77365806</v>
      </c>
      <c r="C21" s="238">
        <f>B21/(1+Parâmetros!E11)</f>
        <v>50721641.42961708</v>
      </c>
      <c r="D21" s="571"/>
      <c r="E21" s="234">
        <f>B21/RCL!B12</f>
        <v>0.38795478181887666</v>
      </c>
      <c r="F21" s="237">
        <f>Projeções!I122-Projeções!I125</f>
        <v>55090113.11296983</v>
      </c>
      <c r="G21" s="238">
        <f>F21/((1+Parâmetros!E11)*(1+Parâmetros!F11))</f>
        <v>51169923.84341705</v>
      </c>
      <c r="H21" s="571"/>
      <c r="I21" s="234">
        <f>F21/RCL!C12</f>
        <v>0.38270102085157703</v>
      </c>
      <c r="J21" s="237">
        <f>Projeções!J122-Projeções!J125</f>
        <v>57705407.17484606</v>
      </c>
      <c r="K21" s="238">
        <f>J21/((1+Parâmetros!E11)*(1+Parâmetros!F11)*(1+Parâmetros!G11))</f>
        <v>51786584.23212965</v>
      </c>
      <c r="L21" s="571"/>
      <c r="M21" s="235">
        <f>J21/RCL!D12</f>
        <v>0.3825900829554082</v>
      </c>
    </row>
    <row r="22" spans="1:13" ht="12.75">
      <c r="A22" s="236" t="s">
        <v>412</v>
      </c>
      <c r="B22" s="238">
        <f>Projeções!H132-Projeções!H135</f>
        <v>50613231.30156288</v>
      </c>
      <c r="C22" s="238">
        <f>B22/(1+Parâmetros!E11)</f>
        <v>48704033.20011825</v>
      </c>
      <c r="D22" s="571"/>
      <c r="E22" s="234">
        <f>B22/RCL!B12</f>
        <v>0.3725226952694431</v>
      </c>
      <c r="F22" s="237">
        <f>Projeções!I132-Projeções!I135</f>
        <v>55784569.02353613</v>
      </c>
      <c r="G22" s="238">
        <f>F22/((1+Parâmetros!E11)*(1+Parâmetros!F11))</f>
        <v>51814962.56358483</v>
      </c>
      <c r="H22" s="571"/>
      <c r="I22" s="234">
        <f>F22/RCL!C12</f>
        <v>0.38752528006783854</v>
      </c>
      <c r="J22" s="237">
        <f>Projeções!J132-Projeções!J135</f>
        <v>58672132.00513834</v>
      </c>
      <c r="K22" s="238">
        <f>J22/((1+Parâmetros!E11)*(1+Parâmetros!F11)*(1+Parâmetros!G11))</f>
        <v>52654152.44287862</v>
      </c>
      <c r="L22" s="571"/>
      <c r="M22" s="235">
        <f>J22/RCL!D12</f>
        <v>0.3889995227483883</v>
      </c>
    </row>
    <row r="23" spans="1:13" ht="12.75">
      <c r="A23" s="236" t="s">
        <v>413</v>
      </c>
      <c r="B23" s="238">
        <f>Projeções!H138-Projeções!H141+Projeções!H143-Projeções!H144-Projeções!H147</f>
        <v>22559008.588371146</v>
      </c>
      <c r="C23" s="238">
        <f>B23/(1+Parâmetros!E11)</f>
        <v>21708052.91413698</v>
      </c>
      <c r="D23" s="571"/>
      <c r="E23" s="234">
        <f>B23/RCL!B12</f>
        <v>0.16603845409267587</v>
      </c>
      <c r="F23" s="237">
        <f>Projeções!I138-Projeções!I141+Projeções!I143-Projeções!I144-Projeções!I147</f>
        <v>26911916.071881067</v>
      </c>
      <c r="G23" s="238">
        <f>F23/((1+Parâmetros!E11)*(1+Parâmetros!F11))</f>
        <v>24996875.447590616</v>
      </c>
      <c r="H23" s="571"/>
      <c r="I23" s="234">
        <f>F23/RCL!C12</f>
        <v>0.18695219834929164</v>
      </c>
      <c r="J23" s="237">
        <f>Projeções!J138-Projeções!J141+Projeções!J143-Projeções!J144-Projeções!J147</f>
        <v>29860291.06285908</v>
      </c>
      <c r="K23" s="238">
        <f>J23/((1+Parâmetros!E11)*(1+Parâmetros!F11)*(1+Parâmetros!G11))</f>
        <v>26797531.705082975</v>
      </c>
      <c r="L23" s="571"/>
      <c r="M23" s="235">
        <f>J23/RCL!D12</f>
        <v>0.1979754028976292</v>
      </c>
    </row>
    <row r="24" spans="1:13" ht="25.5">
      <c r="A24" s="236" t="s">
        <v>414</v>
      </c>
      <c r="B24" s="238">
        <f>Projeções!H125+Projeções!H135+Projeções!H141+Projeções!H147</f>
        <v>7303591.332376</v>
      </c>
      <c r="C24" s="238">
        <f>B24/(1+Parâmetros!E11)</f>
        <v>7028090.196666667</v>
      </c>
      <c r="D24" s="571"/>
      <c r="E24" s="234">
        <f>B24/RCL!B12</f>
        <v>0.05375577607508407</v>
      </c>
      <c r="F24" s="237">
        <f>Projeções!I125+Projeções!I135+Projeções!I141+Projeções!I147</f>
        <v>8526018.141460512</v>
      </c>
      <c r="G24" s="238">
        <f>F24/((1+Parâmetros!E11)*(1+Parâmetros!F11))</f>
        <v>7919310.277898384</v>
      </c>
      <c r="H24" s="571"/>
      <c r="I24" s="234">
        <f>F24/RCL!C12</f>
        <v>0.059228701161766484</v>
      </c>
      <c r="J24" s="237">
        <f>Projeções!J125+Projeções!J135+Projeções!J141+Projeções!J147</f>
        <v>9368491.061073596</v>
      </c>
      <c r="K24" s="238">
        <f>J24/((1+Parâmetros!E11)*(1+Parâmetros!F11)*(1+Parâmetros!G11))</f>
        <v>8407568.288916344</v>
      </c>
      <c r="L24" s="571"/>
      <c r="M24" s="235">
        <f>J24/RCL!D12</f>
        <v>0.062113620676184214</v>
      </c>
    </row>
    <row r="25" spans="1:13" ht="25.5">
      <c r="A25" s="228" t="s">
        <v>415</v>
      </c>
      <c r="B25" s="233">
        <f>B12-B19</f>
        <v>837702.7761358619</v>
      </c>
      <c r="C25" s="233">
        <f>C12-C19</f>
        <v>806103.518221572</v>
      </c>
      <c r="D25" s="571"/>
      <c r="E25" s="234">
        <f>B25/RCL!B12</f>
        <v>0.006165646570587363</v>
      </c>
      <c r="F25" s="229">
        <f>F12-F19</f>
        <v>-4321918.515602291</v>
      </c>
      <c r="G25" s="233">
        <f>G12-G19</f>
        <v>-4014372.612510726</v>
      </c>
      <c r="H25" s="571"/>
      <c r="I25" s="234">
        <f>F25/RCL!C12</f>
        <v>-0.030023583806527497</v>
      </c>
      <c r="J25" s="229">
        <f>J12-J19</f>
        <v>-6863244.098292649</v>
      </c>
      <c r="K25" s="233">
        <f>K12-K19</f>
        <v>-6159283.609679282</v>
      </c>
      <c r="L25" s="571"/>
      <c r="M25" s="235">
        <f>J25/RCL!D12</f>
        <v>-0.0455036929373509</v>
      </c>
    </row>
    <row r="26" spans="1:13" ht="12.75">
      <c r="A26" s="239" t="s">
        <v>416</v>
      </c>
      <c r="B26" s="237">
        <f>Dívida!E7</f>
        <v>675000</v>
      </c>
      <c r="C26" s="238">
        <f>B26/(1+Parâmetros!E11)</f>
        <v>649538.1062355659</v>
      </c>
      <c r="D26" s="571"/>
      <c r="E26" s="234">
        <f>B26/RCL!B12</f>
        <v>0.004968124200738582</v>
      </c>
      <c r="F26" s="237">
        <f>Dívida!F7</f>
        <v>562500</v>
      </c>
      <c r="G26" s="238">
        <f>F26/((1+Parâmetros!E11)*(1+Parâmetros!F11))</f>
        <v>522472.73667596997</v>
      </c>
      <c r="H26" s="571"/>
      <c r="I26" s="234">
        <f>F26/RCL!C12</f>
        <v>0.003907585446186556</v>
      </c>
      <c r="J26" s="237">
        <f>Dívida!G7</f>
        <v>525000</v>
      </c>
      <c r="K26" s="238">
        <f>J26/((1+Parâmetros!E11)*(1+Parâmetros!F11)*(1+Parâmetros!G11))</f>
        <v>471150.938065287</v>
      </c>
      <c r="L26" s="571"/>
      <c r="M26" s="235">
        <f>J26/RCL!D12</f>
        <v>0.0034807794171348404</v>
      </c>
    </row>
    <row r="27" spans="1:13" ht="12.75">
      <c r="A27" s="239" t="s">
        <v>417</v>
      </c>
      <c r="B27" s="238">
        <f>Dívida!E16</f>
        <v>-45573484.43333334</v>
      </c>
      <c r="C27" s="238">
        <f>B27/(1+Parâmetros!E11)</f>
        <v>-43854392.256864265</v>
      </c>
      <c r="D27" s="571"/>
      <c r="E27" s="234">
        <f>B27/RCL!B12</f>
        <v>-0.3354292310003354</v>
      </c>
      <c r="F27" s="237">
        <f>Dívida!F16</f>
        <v>-48560059.494444445</v>
      </c>
      <c r="G27" s="238">
        <f>F27/((1+Parâmetros!E11)*(1+Parâmetros!F11))</f>
        <v>-45104546.09281833</v>
      </c>
      <c r="H27" s="571"/>
      <c r="I27" s="234">
        <f>F27/RCL!C12</f>
        <v>-0.3373379231047901</v>
      </c>
      <c r="J27" s="237">
        <f>Dívida!G16</f>
        <v>-49126211.002592586</v>
      </c>
      <c r="K27" s="238">
        <f>J27/((1+Parâmetros!E11)*(1+Parâmetros!F11)*(1+Parâmetros!G11))</f>
        <v>-44087353.13802804</v>
      </c>
      <c r="L27" s="571"/>
      <c r="M27" s="235">
        <f>J27/RCL!D12</f>
        <v>-0.325709531618376</v>
      </c>
    </row>
    <row r="28" spans="1:13" ht="25.5">
      <c r="A28" s="240" t="s">
        <v>418</v>
      </c>
      <c r="B28" s="241">
        <f>Dívida!E16-Dívida!D16</f>
        <v>7471686.68666666</v>
      </c>
      <c r="C28" s="242">
        <f>B28/(1+Parâmetros!E11)</f>
        <v>7189844.771619189</v>
      </c>
      <c r="D28" s="571"/>
      <c r="E28" s="243">
        <f>B28/RCL!B12</f>
        <v>0.05499298881239245</v>
      </c>
      <c r="F28" s="241">
        <f>Dívida!F16-Dívida!E16</f>
        <v>-2986575.0611111075</v>
      </c>
      <c r="G28" s="242">
        <f>F28/((1+Parâmetros!E11)*(1+Parâmetros!F11))</f>
        <v>-2774051.63638564</v>
      </c>
      <c r="H28" s="571"/>
      <c r="I28" s="243">
        <f>F28/RCL!C12</f>
        <v>-0.02074719509820709</v>
      </c>
      <c r="J28" s="241">
        <f>Dívida!G16-Dívida!F16</f>
        <v>-566151.5081481412</v>
      </c>
      <c r="K28" s="242">
        <f>J28/((1+Parâmetros!E11)*(1+Parâmetros!F11)*(1+Parâmetros!G11))</f>
        <v>-508081.5507639499</v>
      </c>
      <c r="L28" s="571"/>
      <c r="M28" s="244">
        <f>J28/RCL!D12</f>
        <v>-0.0037536162219845674</v>
      </c>
    </row>
    <row r="29" spans="1:13" ht="24" customHeight="1">
      <c r="A29" s="576" t="s">
        <v>419</v>
      </c>
      <c r="B29" s="576"/>
      <c r="C29" s="576"/>
      <c r="D29" s="576"/>
      <c r="E29" s="576"/>
      <c r="F29" s="576"/>
      <c r="G29" s="576"/>
      <c r="H29" s="576"/>
      <c r="I29" s="576"/>
      <c r="J29" s="576"/>
      <c r="K29" s="576"/>
      <c r="L29" s="576"/>
      <c r="M29" s="576"/>
    </row>
    <row r="30" spans="1:13" ht="48" customHeight="1">
      <c r="A30" s="577" t="s">
        <v>420</v>
      </c>
      <c r="B30" s="577"/>
      <c r="C30" s="577"/>
      <c r="D30" s="577"/>
      <c r="E30" s="577"/>
      <c r="F30" s="577"/>
      <c r="G30" s="577"/>
      <c r="H30" s="577"/>
      <c r="I30" s="577"/>
      <c r="J30" s="577"/>
      <c r="K30" s="577"/>
      <c r="L30" s="577"/>
      <c r="M30" s="577"/>
    </row>
    <row r="31" spans="1:13" ht="42" customHeight="1">
      <c r="A31" s="577" t="s">
        <v>421</v>
      </c>
      <c r="B31" s="577"/>
      <c r="C31" s="577"/>
      <c r="D31" s="577"/>
      <c r="E31" s="577"/>
      <c r="F31" s="577"/>
      <c r="G31" s="577"/>
      <c r="H31" s="577"/>
      <c r="I31" s="577"/>
      <c r="J31" s="577"/>
      <c r="K31" s="577"/>
      <c r="L31" s="577"/>
      <c r="M31" s="577"/>
    </row>
    <row r="32" spans="1:13" ht="34.5" customHeight="1">
      <c r="A32" s="578" t="s">
        <v>422</v>
      </c>
      <c r="B32" s="578"/>
      <c r="C32" s="578"/>
      <c r="D32" s="578"/>
      <c r="E32" s="578"/>
      <c r="F32" s="578"/>
      <c r="G32" s="578"/>
      <c r="H32" s="578"/>
      <c r="I32" s="578"/>
      <c r="J32" s="578"/>
      <c r="K32" s="578"/>
      <c r="L32" s="578"/>
      <c r="M32" s="578"/>
    </row>
  </sheetData>
  <sheetProtection selectLockedCells="1" selectUnlockedCells="1"/>
  <mergeCells count="18">
    <mergeCell ref="A29:M29"/>
    <mergeCell ref="A30:M30"/>
    <mergeCell ref="A31:M31"/>
    <mergeCell ref="A32:M32"/>
    <mergeCell ref="A7:A10"/>
    <mergeCell ref="B7:E7"/>
    <mergeCell ref="F7:I7"/>
    <mergeCell ref="J7:M7"/>
    <mergeCell ref="D11:D28"/>
    <mergeCell ref="H11:H28"/>
    <mergeCell ref="L11:L28"/>
    <mergeCell ref="A1:L1"/>
    <mergeCell ref="A2:L2"/>
    <mergeCell ref="A3:L3"/>
    <mergeCell ref="A4:L4"/>
    <mergeCell ref="A5:L5"/>
    <mergeCell ref="A6:H6"/>
    <mergeCell ref="J6:M6"/>
  </mergeCells>
  <printOptions/>
  <pageMargins left="0.5118055555555555" right="0.5118055555555555" top="0.7875" bottom="0.7875" header="0.5118055555555555" footer="0.511805555555555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codeName="Dem-1A-Metas RPPS"/>
  <dimension ref="A1:N19"/>
  <sheetViews>
    <sheetView zoomScale="120" zoomScaleNormal="120" zoomScalePageLayoutView="0" workbookViewId="0" topLeftCell="A1">
      <selection activeCell="I6" sqref="I6"/>
    </sheetView>
  </sheetViews>
  <sheetFormatPr defaultColWidth="9.140625" defaultRowHeight="12.75"/>
  <cols>
    <col min="1" max="1" width="37.8515625" style="0" customWidth="1"/>
    <col min="2" max="2" width="12.8515625" style="0" customWidth="1"/>
    <col min="3" max="3" width="13.140625" style="0" customWidth="1"/>
    <col min="4" max="4" width="5.8515625" style="0" customWidth="1"/>
    <col min="5" max="5" width="8.00390625" style="0" customWidth="1"/>
    <col min="6" max="7" width="12.7109375" style="0" customWidth="1"/>
    <col min="8" max="8" width="5.7109375" style="0" customWidth="1"/>
    <col min="9" max="9" width="10.421875" style="0" customWidth="1"/>
    <col min="10" max="11" width="12.7109375" style="0" customWidth="1"/>
    <col min="12" max="12" width="5.421875" style="0" customWidth="1"/>
    <col min="13" max="13" width="9.7109375" style="0" customWidth="1"/>
  </cols>
  <sheetData>
    <row r="1" spans="1:13" ht="12.75">
      <c r="A1" s="572" t="str">
        <f>Parâmetros!A7</f>
        <v>Município de Ivoti</v>
      </c>
      <c r="B1" s="572"/>
      <c r="C1" s="572"/>
      <c r="D1" s="572"/>
      <c r="E1" s="572"/>
      <c r="F1" s="572"/>
      <c r="G1" s="572"/>
      <c r="H1" s="572"/>
      <c r="I1" s="572"/>
      <c r="J1" s="572"/>
      <c r="K1" s="572"/>
      <c r="L1" s="572"/>
      <c r="M1" s="208"/>
    </row>
    <row r="2" spans="1:13" ht="12.75">
      <c r="A2" s="573" t="s">
        <v>381</v>
      </c>
      <c r="B2" s="573"/>
      <c r="C2" s="573"/>
      <c r="D2" s="573"/>
      <c r="E2" s="573"/>
      <c r="F2" s="573"/>
      <c r="G2" s="573"/>
      <c r="H2" s="573"/>
      <c r="I2" s="573"/>
      <c r="J2" s="573"/>
      <c r="K2" s="573"/>
      <c r="L2" s="573"/>
      <c r="M2" s="208"/>
    </row>
    <row r="3" spans="1:13" ht="12.75">
      <c r="A3" s="573" t="s">
        <v>382</v>
      </c>
      <c r="B3" s="573"/>
      <c r="C3" s="573"/>
      <c r="D3" s="573"/>
      <c r="E3" s="573"/>
      <c r="F3" s="573"/>
      <c r="G3" s="573"/>
      <c r="H3" s="573"/>
      <c r="I3" s="573"/>
      <c r="J3" s="573"/>
      <c r="K3" s="573"/>
      <c r="L3" s="573"/>
      <c r="M3" s="208"/>
    </row>
    <row r="4" spans="1:13" ht="12.75">
      <c r="A4" s="573" t="s">
        <v>423</v>
      </c>
      <c r="B4" s="573"/>
      <c r="C4" s="573"/>
      <c r="D4" s="573"/>
      <c r="E4" s="573"/>
      <c r="F4" s="573"/>
      <c r="G4" s="573"/>
      <c r="H4" s="573"/>
      <c r="I4" s="573"/>
      <c r="J4" s="573"/>
      <c r="K4" s="573"/>
      <c r="L4" s="573"/>
      <c r="M4" s="208"/>
    </row>
    <row r="5" spans="1:13" ht="12.75">
      <c r="A5" s="573">
        <f>Parâmetros!E10</f>
        <v>2024</v>
      </c>
      <c r="B5" s="573"/>
      <c r="C5" s="573"/>
      <c r="D5" s="573"/>
      <c r="E5" s="573"/>
      <c r="F5" s="573"/>
      <c r="G5" s="573"/>
      <c r="H5" s="573"/>
      <c r="I5" s="573"/>
      <c r="J5" s="573"/>
      <c r="K5" s="573"/>
      <c r="L5" s="573"/>
      <c r="M5" s="208"/>
    </row>
    <row r="6" spans="1:13" ht="12.75" customHeight="1">
      <c r="A6" s="574" t="s">
        <v>384</v>
      </c>
      <c r="B6" s="574"/>
      <c r="C6" s="574"/>
      <c r="D6" s="574"/>
      <c r="E6" s="574"/>
      <c r="F6" s="574"/>
      <c r="G6" s="574"/>
      <c r="H6" s="574"/>
      <c r="I6" s="210"/>
      <c r="J6" s="575">
        <v>1</v>
      </c>
      <c r="K6" s="575"/>
      <c r="L6" s="575"/>
      <c r="M6" s="575"/>
    </row>
    <row r="7" spans="1:13" ht="12.75" customHeight="1">
      <c r="A7" s="579" t="s">
        <v>334</v>
      </c>
      <c r="B7" s="580">
        <f>Parâmetros!E10</f>
        <v>2024</v>
      </c>
      <c r="C7" s="580"/>
      <c r="D7" s="580"/>
      <c r="E7" s="580"/>
      <c r="F7" s="580">
        <f>B7+1</f>
        <v>2025</v>
      </c>
      <c r="G7" s="580"/>
      <c r="H7" s="580"/>
      <c r="I7" s="580"/>
      <c r="J7" s="580">
        <f>F7+1</f>
        <v>2026</v>
      </c>
      <c r="K7" s="580"/>
      <c r="L7" s="580"/>
      <c r="M7" s="580"/>
    </row>
    <row r="8" spans="1:13" ht="12.75">
      <c r="A8" s="579"/>
      <c r="B8" s="212" t="s">
        <v>385</v>
      </c>
      <c r="C8" s="213" t="s">
        <v>385</v>
      </c>
      <c r="D8" s="214" t="s">
        <v>386</v>
      </c>
      <c r="E8" s="213" t="s">
        <v>387</v>
      </c>
      <c r="F8" s="213" t="s">
        <v>385</v>
      </c>
      <c r="G8" s="213" t="s">
        <v>385</v>
      </c>
      <c r="H8" s="214" t="s">
        <v>386</v>
      </c>
      <c r="I8" s="213" t="s">
        <v>387</v>
      </c>
      <c r="J8" s="213" t="s">
        <v>385</v>
      </c>
      <c r="K8" s="213" t="s">
        <v>385</v>
      </c>
      <c r="L8" s="215" t="s">
        <v>386</v>
      </c>
      <c r="M8" s="216" t="s">
        <v>387</v>
      </c>
    </row>
    <row r="9" spans="1:13" ht="22.5">
      <c r="A9" s="579"/>
      <c r="B9" s="217" t="s">
        <v>388</v>
      </c>
      <c r="C9" s="218" t="s">
        <v>389</v>
      </c>
      <c r="D9" s="219" t="s">
        <v>390</v>
      </c>
      <c r="E9" s="218" t="s">
        <v>391</v>
      </c>
      <c r="F9" s="218" t="s">
        <v>388</v>
      </c>
      <c r="G9" s="218" t="s">
        <v>389</v>
      </c>
      <c r="H9" s="219" t="s">
        <v>392</v>
      </c>
      <c r="I9" s="218" t="s">
        <v>393</v>
      </c>
      <c r="J9" s="218" t="s">
        <v>388</v>
      </c>
      <c r="K9" s="218" t="s">
        <v>389</v>
      </c>
      <c r="L9" s="220" t="s">
        <v>394</v>
      </c>
      <c r="M9" s="217" t="s">
        <v>395</v>
      </c>
    </row>
    <row r="10" spans="1:13" ht="12.75">
      <c r="A10" s="579"/>
      <c r="B10" s="221" t="s">
        <v>396</v>
      </c>
      <c r="C10" s="222"/>
      <c r="D10" s="223" t="s">
        <v>397</v>
      </c>
      <c r="E10" s="224" t="s">
        <v>397</v>
      </c>
      <c r="F10" s="225" t="s">
        <v>398</v>
      </c>
      <c r="G10" s="222"/>
      <c r="H10" s="223" t="s">
        <v>397</v>
      </c>
      <c r="I10" s="224" t="s">
        <v>397</v>
      </c>
      <c r="J10" s="225" t="s">
        <v>399</v>
      </c>
      <c r="K10" s="222"/>
      <c r="L10" s="226" t="s">
        <v>397</v>
      </c>
      <c r="M10" s="227" t="s">
        <v>397</v>
      </c>
    </row>
    <row r="11" spans="1:13" ht="12.75" customHeight="1">
      <c r="A11" s="228" t="s">
        <v>424</v>
      </c>
      <c r="B11" s="245">
        <f>'Projeções - RPPS'!H35</f>
        <v>25001121.655609876</v>
      </c>
      <c r="C11" s="246">
        <f>B11/(1+Parâmetros!E11)</f>
        <v>24058046.242888644</v>
      </c>
      <c r="D11" s="581" t="s">
        <v>401</v>
      </c>
      <c r="E11" s="247">
        <f>B11/RCL!B12</f>
        <v>0.18401285561902944</v>
      </c>
      <c r="F11" s="245">
        <f>'Projeções - RPPS'!I35</f>
        <v>26198718.545440167</v>
      </c>
      <c r="G11" s="246">
        <f>F11/((1+Parâmetros!E11)*(1+Parâmetros!F11))</f>
        <v>24334428.7570482</v>
      </c>
      <c r="H11" s="581" t="s">
        <v>401</v>
      </c>
      <c r="I11" s="247">
        <f>F11/RCL!C12</f>
        <v>0.18199774452782191</v>
      </c>
      <c r="J11" s="245">
        <f>'Projeções - RPPS'!J35</f>
        <v>27440743.149510432</v>
      </c>
      <c r="K11" s="246">
        <f>J11/((1+Parâmetros!E11)*(1+Parâmetros!F11)*(1+Parâmetros!G11))</f>
        <v>24626155.954477023</v>
      </c>
      <c r="L11" s="581" t="s">
        <v>401</v>
      </c>
      <c r="M11" s="247">
        <f>J11/RCL!D12</f>
        <v>0.1819336646584758</v>
      </c>
    </row>
    <row r="12" spans="1:13" ht="12.75">
      <c r="A12" s="228" t="s">
        <v>425</v>
      </c>
      <c r="B12" s="245">
        <f>B11-'Projeções - RPPS'!H10-'Projeções - RPPS'!H19-'Projeções - RPPS'!H20-'Projeções - RPPS'!H23-'Projeções - RPPS'!H27-'Projeções - RPPS'!H30</f>
        <v>13047426.409042649</v>
      </c>
      <c r="C12" s="246">
        <f>B12/(1+Parâmetros!E11)</f>
        <v>12555260.208855513</v>
      </c>
      <c r="D12" s="581"/>
      <c r="E12" s="248">
        <f>B12/RCL!B12</f>
        <v>0.0960314591112896</v>
      </c>
      <c r="F12" s="245">
        <f>F11-'Projeções - RPPS'!I10-'Projeções - RPPS'!I19-'Projeções - RPPS'!I20-'Projeções - RPPS'!I23-'Projeções - RPPS'!I27-'Projeções - RPPS'!I30</f>
        <v>13590539.35821099</v>
      </c>
      <c r="G12" s="249">
        <f>F12/((1+Parâmetros!E11)*(1+Parâmetros!F11))</f>
        <v>12623442.29579907</v>
      </c>
      <c r="H12" s="581"/>
      <c r="I12" s="248">
        <f>F12/RCL!C12</f>
        <v>0.09441101120350373</v>
      </c>
      <c r="J12" s="245">
        <f>J11-'Projeções - RPPS'!J10-'Projeções - RPPS'!J19-'Projeções - RPPS'!J20-'Projeções - RPPS'!J23-'Projeções - RPPS'!J27-'Projeções - RPPS'!J30</f>
        <v>14143337.847011374</v>
      </c>
      <c r="K12" s="246">
        <f>J12/((1+Parâmetros!E11)*(1+Parâmetros!F11)*(1+Parâmetros!G11))</f>
        <v>12692660.750464164</v>
      </c>
      <c r="L12" s="581"/>
      <c r="M12" s="248">
        <f>J12/RCL!D12</f>
        <v>0.09377112241421215</v>
      </c>
    </row>
    <row r="13" spans="1:13" ht="12.75">
      <c r="A13" s="228" t="s">
        <v>426</v>
      </c>
      <c r="B13" s="245">
        <f>'Projeções - RPPS'!H69</f>
        <v>6330703.919371037</v>
      </c>
      <c r="C13" s="249">
        <f>B13/(1+Parâmetros!E11)</f>
        <v>6091901.385076056</v>
      </c>
      <c r="D13" s="581"/>
      <c r="E13" s="248">
        <f>B13/RCL!B12</f>
        <v>0.04659514570301902</v>
      </c>
      <c r="F13" s="245">
        <f>'Projeções - RPPS'!I69</f>
        <v>6560383.452457868</v>
      </c>
      <c r="G13" s="249">
        <f>F13/((1+Parâmetros!E11)*(1+Parâmetros!F11))</f>
        <v>6093549.326310063</v>
      </c>
      <c r="H13" s="581"/>
      <c r="I13" s="248">
        <f>F13/RCL!C12</f>
        <v>0.04557379360040441</v>
      </c>
      <c r="J13" s="245">
        <f>'Projeções - RPPS'!J69</f>
        <v>6789598.8260597205</v>
      </c>
      <c r="K13" s="249">
        <f>J13/((1+Parâmetros!E11)*(1+Parâmetros!F11)*(1+Parâmetros!G11))</f>
        <v>6093192.106638112</v>
      </c>
      <c r="L13" s="581"/>
      <c r="M13" s="248">
        <f>J13/RCL!D12</f>
        <v>0.04501542065590772</v>
      </c>
    </row>
    <row r="14" spans="1:13" ht="12.75">
      <c r="A14" s="228" t="s">
        <v>427</v>
      </c>
      <c r="B14" s="245">
        <f>B13-'Projeções - RPPS'!H48-'Projeções - RPPS'!H65</f>
        <v>6330703.919371037</v>
      </c>
      <c r="C14" s="249">
        <f>B14/(1+Parâmetros!E11)</f>
        <v>6091901.385076056</v>
      </c>
      <c r="D14" s="581"/>
      <c r="E14" s="248">
        <f>B14/RCL!B12</f>
        <v>0.04659514570301902</v>
      </c>
      <c r="F14" s="245">
        <f>F13-'Projeções - RPPS'!I48-'Projeções - RPPS'!I65</f>
        <v>6560383.452457868</v>
      </c>
      <c r="G14" s="249">
        <f>F14/((1+Parâmetros!E11)*(1+Parâmetros!F11))</f>
        <v>6093549.326310063</v>
      </c>
      <c r="H14" s="581"/>
      <c r="I14" s="248">
        <f>F14/RCL!C12</f>
        <v>0.04557379360040441</v>
      </c>
      <c r="J14" s="245">
        <f>J13-'Projeções - RPPS'!J48-'Projeções - RPPS'!J65</f>
        <v>6789598.8260597205</v>
      </c>
      <c r="K14" s="249">
        <f>J14/((1+Parâmetros!E11)*(1+Parâmetros!F11)*(1+Parâmetros!G11))</f>
        <v>6093192.106638112</v>
      </c>
      <c r="L14" s="581"/>
      <c r="M14" s="248">
        <f>J14/RCL!D12</f>
        <v>0.04501542065590772</v>
      </c>
    </row>
    <row r="15" spans="1:13" ht="25.5">
      <c r="A15" s="228" t="s">
        <v>428</v>
      </c>
      <c r="B15" s="249">
        <f>B12-B14</f>
        <v>6716722.489671612</v>
      </c>
      <c r="C15" s="249">
        <f>C12-C14</f>
        <v>6463358.823779457</v>
      </c>
      <c r="D15" s="581"/>
      <c r="E15" s="248">
        <f>B15/RCL!B12</f>
        <v>0.04943631340827057</v>
      </c>
      <c r="F15" s="245">
        <f>F12-F14</f>
        <v>7030155.905753123</v>
      </c>
      <c r="G15" s="249">
        <f>G12-G14</f>
        <v>6529892.969489006</v>
      </c>
      <c r="H15" s="581"/>
      <c r="I15" s="248">
        <f>F15/RCL!C12</f>
        <v>0.04883721760309932</v>
      </c>
      <c r="J15" s="245">
        <f>J12-J14</f>
        <v>7353739.020951654</v>
      </c>
      <c r="K15" s="249">
        <f>K12-K14</f>
        <v>6599468.643826052</v>
      </c>
      <c r="L15" s="581"/>
      <c r="M15" s="248">
        <f>J15/RCL!D12</f>
        <v>0.04875570175830444</v>
      </c>
    </row>
    <row r="16" spans="1:14" ht="18.75" customHeight="1">
      <c r="A16" s="576" t="s">
        <v>429</v>
      </c>
      <c r="B16" s="576"/>
      <c r="C16" s="576"/>
      <c r="D16" s="576"/>
      <c r="E16" s="576"/>
      <c r="F16" s="576"/>
      <c r="G16" s="576"/>
      <c r="H16" s="576"/>
      <c r="I16" s="576"/>
      <c r="J16" s="576"/>
      <c r="K16" s="576"/>
      <c r="L16" s="576"/>
      <c r="M16" s="576"/>
      <c r="N16" s="250"/>
    </row>
    <row r="17" spans="1:14" ht="45" customHeight="1">
      <c r="A17" s="582" t="s">
        <v>430</v>
      </c>
      <c r="B17" s="582"/>
      <c r="C17" s="582"/>
      <c r="D17" s="582"/>
      <c r="E17" s="582"/>
      <c r="F17" s="582"/>
      <c r="G17" s="582"/>
      <c r="H17" s="582"/>
      <c r="I17" s="582"/>
      <c r="J17" s="582"/>
      <c r="K17" s="582"/>
      <c r="L17" s="582"/>
      <c r="M17" s="582"/>
      <c r="N17" s="250"/>
    </row>
    <row r="18" spans="1:13" ht="32.25" customHeight="1">
      <c r="A18" s="577" t="s">
        <v>431</v>
      </c>
      <c r="B18" s="577"/>
      <c r="C18" s="577"/>
      <c r="D18" s="577"/>
      <c r="E18" s="577"/>
      <c r="F18" s="577"/>
      <c r="G18" s="577"/>
      <c r="H18" s="577"/>
      <c r="I18" s="577"/>
      <c r="J18" s="577"/>
      <c r="K18" s="577"/>
      <c r="L18" s="577"/>
      <c r="M18" s="577"/>
    </row>
    <row r="19" spans="1:13" ht="30.75" customHeight="1">
      <c r="A19" s="578" t="s">
        <v>432</v>
      </c>
      <c r="B19" s="578"/>
      <c r="C19" s="578"/>
      <c r="D19" s="578"/>
      <c r="E19" s="578"/>
      <c r="F19" s="578"/>
      <c r="G19" s="578"/>
      <c r="H19" s="578"/>
      <c r="I19" s="578"/>
      <c r="J19" s="578"/>
      <c r="K19" s="578"/>
      <c r="L19" s="578"/>
      <c r="M19" s="578"/>
    </row>
  </sheetData>
  <sheetProtection selectLockedCells="1" selectUnlockedCells="1"/>
  <mergeCells count="18">
    <mergeCell ref="A16:M16"/>
    <mergeCell ref="A17:M17"/>
    <mergeCell ref="A18:M18"/>
    <mergeCell ref="A19:M19"/>
    <mergeCell ref="A7:A10"/>
    <mergeCell ref="B7:E7"/>
    <mergeCell ref="F7:I7"/>
    <mergeCell ref="J7:M7"/>
    <mergeCell ref="D11:D15"/>
    <mergeCell ref="H11:H15"/>
    <mergeCell ref="L11:L15"/>
    <mergeCell ref="A1:L1"/>
    <mergeCell ref="A2:L2"/>
    <mergeCell ref="A3:L3"/>
    <mergeCell ref="A4:L4"/>
    <mergeCell ref="A5:L5"/>
    <mergeCell ref="A6:H6"/>
    <mergeCell ref="J6:M6"/>
  </mergeCells>
  <printOptions/>
  <pageMargins left="0.5118055555555555" right="0.5118055555555555" top="0.7875" bottom="0.78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codeName=" Dem-2-Avalia"/>
  <dimension ref="A1:I25"/>
  <sheetViews>
    <sheetView zoomScale="120" zoomScaleNormal="120" zoomScalePageLayoutView="0" workbookViewId="0" topLeftCell="A1">
      <selection activeCell="K28" sqref="K28"/>
    </sheetView>
  </sheetViews>
  <sheetFormatPr defaultColWidth="8.8515625" defaultRowHeight="12.75"/>
  <cols>
    <col min="1" max="1" width="66.421875" style="251" customWidth="1"/>
    <col min="2" max="2" width="14.00390625" style="251" customWidth="1"/>
    <col min="3" max="3" width="7.140625" style="251" customWidth="1"/>
    <col min="4" max="4" width="11.421875" style="251" customWidth="1"/>
    <col min="5" max="5" width="13.7109375" style="251" customWidth="1"/>
    <col min="6" max="6" width="5.421875" style="251" customWidth="1"/>
    <col min="7" max="7" width="11.421875" style="251" customWidth="1"/>
    <col min="8" max="8" width="13.7109375" style="251" customWidth="1"/>
    <col min="9" max="9" width="9.8515625" style="251" customWidth="1"/>
    <col min="10" max="16384" width="8.8515625" style="251" customWidth="1"/>
  </cols>
  <sheetData>
    <row r="1" spans="1:9" ht="12.75">
      <c r="A1" s="583" t="str">
        <f>Parâmetros!A7</f>
        <v>Município de Ivoti</v>
      </c>
      <c r="B1" s="583"/>
      <c r="C1" s="583"/>
      <c r="D1" s="583"/>
      <c r="E1" s="583"/>
      <c r="F1" s="583"/>
      <c r="G1" s="583"/>
      <c r="H1" s="583"/>
      <c r="I1" s="583"/>
    </row>
    <row r="2" spans="1:9" ht="12.75">
      <c r="A2" s="584" t="s">
        <v>381</v>
      </c>
      <c r="B2" s="584"/>
      <c r="C2" s="584"/>
      <c r="D2" s="584"/>
      <c r="E2" s="584"/>
      <c r="F2" s="584"/>
      <c r="G2" s="584"/>
      <c r="H2" s="584"/>
      <c r="I2" s="584"/>
    </row>
    <row r="3" spans="1:9" ht="12.75">
      <c r="A3" s="584" t="s">
        <v>382</v>
      </c>
      <c r="B3" s="584"/>
      <c r="C3" s="584"/>
      <c r="D3" s="584"/>
      <c r="E3" s="584"/>
      <c r="F3" s="584"/>
      <c r="G3" s="584"/>
      <c r="H3" s="584"/>
      <c r="I3" s="584"/>
    </row>
    <row r="4" spans="1:9" ht="12.75">
      <c r="A4" s="585" t="s">
        <v>433</v>
      </c>
      <c r="B4" s="585"/>
      <c r="C4" s="585"/>
      <c r="D4" s="585"/>
      <c r="E4" s="585"/>
      <c r="F4" s="585"/>
      <c r="G4" s="585"/>
      <c r="H4" s="585"/>
      <c r="I4" s="585"/>
    </row>
    <row r="5" spans="1:9" ht="12.75">
      <c r="A5" s="584">
        <f>Parâmetros!E10</f>
        <v>2024</v>
      </c>
      <c r="B5" s="584"/>
      <c r="C5" s="584"/>
      <c r="D5" s="584"/>
      <c r="E5" s="584"/>
      <c r="F5" s="584"/>
      <c r="G5" s="584"/>
      <c r="H5" s="584"/>
      <c r="I5" s="584"/>
    </row>
    <row r="6" spans="1:9" ht="12.75">
      <c r="A6" s="586" t="s">
        <v>434</v>
      </c>
      <c r="B6" s="586"/>
      <c r="C6" s="252"/>
      <c r="D6" s="252"/>
      <c r="E6" s="252"/>
      <c r="F6" s="252"/>
      <c r="G6" s="252"/>
      <c r="H6" s="587">
        <v>1</v>
      </c>
      <c r="I6" s="587"/>
    </row>
    <row r="7" spans="1:9" ht="38.25" customHeight="1">
      <c r="A7" s="588" t="s">
        <v>334</v>
      </c>
      <c r="B7" s="254" t="s">
        <v>435</v>
      </c>
      <c r="C7" s="588" t="s">
        <v>386</v>
      </c>
      <c r="D7" s="588" t="s">
        <v>387</v>
      </c>
      <c r="E7" s="254" t="s">
        <v>436</v>
      </c>
      <c r="F7" s="588" t="s">
        <v>386</v>
      </c>
      <c r="G7" s="588" t="s">
        <v>387</v>
      </c>
      <c r="H7" s="588" t="s">
        <v>437</v>
      </c>
      <c r="I7" s="588"/>
    </row>
    <row r="8" spans="1:9" ht="12.75">
      <c r="A8" s="588"/>
      <c r="B8" s="254"/>
      <c r="C8" s="588"/>
      <c r="D8" s="588"/>
      <c r="E8" s="254"/>
      <c r="F8" s="588"/>
      <c r="G8" s="588"/>
      <c r="H8" s="254" t="s">
        <v>385</v>
      </c>
      <c r="I8" s="254" t="s">
        <v>438</v>
      </c>
    </row>
    <row r="9" spans="1:9" ht="12.75">
      <c r="A9" s="588"/>
      <c r="B9" s="254" t="s">
        <v>396</v>
      </c>
      <c r="C9" s="588"/>
      <c r="D9" s="588"/>
      <c r="E9" s="254" t="s">
        <v>398</v>
      </c>
      <c r="F9" s="588"/>
      <c r="G9" s="588"/>
      <c r="H9" s="254" t="s">
        <v>439</v>
      </c>
      <c r="I9" s="254" t="s">
        <v>440</v>
      </c>
    </row>
    <row r="10" spans="1:9" ht="12.75" customHeight="1">
      <c r="A10" s="255" t="s">
        <v>441</v>
      </c>
      <c r="B10" s="256">
        <v>115661837.74</v>
      </c>
      <c r="C10" s="591" t="s">
        <v>442</v>
      </c>
      <c r="D10" s="257">
        <f>B10/C24</f>
        <v>0.9906424527109551</v>
      </c>
      <c r="E10" s="258">
        <f>129185039.36+3918020.24</f>
        <v>133103059.6</v>
      </c>
      <c r="F10" s="592" t="s">
        <v>442</v>
      </c>
      <c r="G10" s="257">
        <f>E10/C24</f>
        <v>1.1400263388679963</v>
      </c>
      <c r="H10" s="259">
        <f aca="true" t="shared" si="0" ref="H10:H17">E10-B10</f>
        <v>17441221.86</v>
      </c>
      <c r="I10" s="260">
        <f aca="true" t="shared" si="1" ref="I10:I17">H10/B10</f>
        <v>0.15079495709904497</v>
      </c>
    </row>
    <row r="11" spans="1:9" s="264" customFormat="1" ht="12.75">
      <c r="A11" s="255" t="s">
        <v>443</v>
      </c>
      <c r="B11" s="256">
        <v>107812823.05</v>
      </c>
      <c r="C11" s="591"/>
      <c r="D11" s="261">
        <f>B11/C24</f>
        <v>0.9234157224791144</v>
      </c>
      <c r="E11" s="258">
        <f>114803363.76+3909694.33</f>
        <v>118713058.09</v>
      </c>
      <c r="F11" s="592"/>
      <c r="G11" s="261">
        <f>E11/C24</f>
        <v>1.0167761236809802</v>
      </c>
      <c r="H11" s="262">
        <f t="shared" si="0"/>
        <v>10900235.040000007</v>
      </c>
      <c r="I11" s="263">
        <f t="shared" si="1"/>
        <v>0.10110332640992845</v>
      </c>
    </row>
    <row r="12" spans="1:9" ht="12.75">
      <c r="A12" s="255" t="s">
        <v>444</v>
      </c>
      <c r="B12" s="256">
        <v>101177717.04</v>
      </c>
      <c r="C12" s="591"/>
      <c r="D12" s="265">
        <f>B12/C24</f>
        <v>0.8665861076279369</v>
      </c>
      <c r="E12" s="258">
        <f>(88069461.19+1951442.76+1970669.34)+(17912530.14+374225.07+1782471.4)</f>
        <v>112060799.9</v>
      </c>
      <c r="F12" s="592"/>
      <c r="G12" s="265">
        <f>E12/C24</f>
        <v>0.9597996005842088</v>
      </c>
      <c r="H12" s="266">
        <f t="shared" si="0"/>
        <v>10883082.86</v>
      </c>
      <c r="I12" s="267">
        <f t="shared" si="1"/>
        <v>0.10756402870503036</v>
      </c>
    </row>
    <row r="13" spans="1:9" ht="12.75">
      <c r="A13" s="255" t="s">
        <v>445</v>
      </c>
      <c r="B13" s="256">
        <v>100489372.5</v>
      </c>
      <c r="C13" s="591"/>
      <c r="D13" s="261">
        <f>B13/C24</f>
        <v>0.8606904437102609</v>
      </c>
      <c r="E13" s="258">
        <f>(88069461.19+1951442.76+1970669.34)+(17575030.14+374225.07+1782471.4)</f>
        <v>111723299.9</v>
      </c>
      <c r="F13" s="592"/>
      <c r="G13" s="261">
        <f>E13/C24</f>
        <v>0.9569089165494148</v>
      </c>
      <c r="H13" s="262">
        <f t="shared" si="0"/>
        <v>11233927.400000006</v>
      </c>
      <c r="I13" s="263">
        <f t="shared" si="1"/>
        <v>0.1117921937466572</v>
      </c>
    </row>
    <row r="14" spans="1:9" ht="12.75">
      <c r="A14" s="255" t="s">
        <v>446</v>
      </c>
      <c r="B14" s="256">
        <f>B11-B13</f>
        <v>7323450.549999997</v>
      </c>
      <c r="C14" s="591"/>
      <c r="D14" s="261">
        <f>B14/C24</f>
        <v>0.06272527876885342</v>
      </c>
      <c r="E14" s="258">
        <f>E11-E13</f>
        <v>6989758.189999998</v>
      </c>
      <c r="F14" s="592"/>
      <c r="G14" s="261">
        <f>E14/C24</f>
        <v>0.05986720713156537</v>
      </c>
      <c r="H14" s="262">
        <f t="shared" si="0"/>
        <v>-333692.3599999994</v>
      </c>
      <c r="I14" s="263">
        <f t="shared" si="1"/>
        <v>-0.04556490928992475</v>
      </c>
    </row>
    <row r="15" spans="1:9" ht="12.75">
      <c r="A15" s="255" t="s">
        <v>447</v>
      </c>
      <c r="B15" s="256">
        <v>922774.73</v>
      </c>
      <c r="C15" s="591"/>
      <c r="D15" s="265">
        <f>B15/C24</f>
        <v>0.007903556088066092</v>
      </c>
      <c r="E15" s="258">
        <f>Dívida!C7</f>
        <v>675000</v>
      </c>
      <c r="F15" s="592"/>
      <c r="G15" s="265">
        <f>E15/C24</f>
        <v>0.005781368069587917</v>
      </c>
      <c r="H15" s="266">
        <f t="shared" si="0"/>
        <v>-247774.72999999998</v>
      </c>
      <c r="I15" s="267">
        <f t="shared" si="1"/>
        <v>-0.26851052802453745</v>
      </c>
    </row>
    <row r="16" spans="1:9" ht="12.75">
      <c r="A16" s="255" t="s">
        <v>448</v>
      </c>
      <c r="B16" s="256">
        <v>-23915343.23</v>
      </c>
      <c r="C16" s="591"/>
      <c r="D16" s="265">
        <f>B16/C24</f>
        <v>-0.2048346692194927</v>
      </c>
      <c r="E16" s="268">
        <v>-46193924.18</v>
      </c>
      <c r="F16" s="592"/>
      <c r="G16" s="265">
        <f>E16/C24</f>
        <v>-0.39565048631587735</v>
      </c>
      <c r="H16" s="266">
        <f t="shared" si="0"/>
        <v>-22278580.95</v>
      </c>
      <c r="I16" s="267">
        <f t="shared" si="1"/>
        <v>0.9315601593395989</v>
      </c>
    </row>
    <row r="17" spans="1:9" ht="12.75">
      <c r="A17" s="269" t="s">
        <v>449</v>
      </c>
      <c r="B17" s="256">
        <v>12197924.24</v>
      </c>
      <c r="C17" s="591"/>
      <c r="D17" s="270">
        <f>B17/C24</f>
        <v>0.10447509587613106</v>
      </c>
      <c r="E17" s="271">
        <v>12649235.33</v>
      </c>
      <c r="F17" s="592"/>
      <c r="G17" s="270">
        <f>E17/C24</f>
        <v>0.10834057072824502</v>
      </c>
      <c r="H17" s="272">
        <f t="shared" si="0"/>
        <v>451311.08999999985</v>
      </c>
      <c r="I17" s="273">
        <f t="shared" si="1"/>
        <v>0.036999007463912555</v>
      </c>
    </row>
    <row r="18" spans="1:9" ht="17.25" customHeight="1">
      <c r="A18" s="593" t="s">
        <v>450</v>
      </c>
      <c r="B18" s="593"/>
      <c r="C18" s="593"/>
      <c r="D18" s="593"/>
      <c r="E18" s="593"/>
      <c r="F18" s="593"/>
      <c r="G18" s="593"/>
      <c r="H18" s="593"/>
      <c r="I18" s="593"/>
    </row>
    <row r="19" spans="1:9" ht="21.75" customHeight="1">
      <c r="A19" s="594" t="s">
        <v>451</v>
      </c>
      <c r="B19" s="594"/>
      <c r="C19" s="594"/>
      <c r="D19" s="594"/>
      <c r="E19" s="594"/>
      <c r="F19" s="594"/>
      <c r="G19" s="594"/>
      <c r="H19" s="594"/>
      <c r="I19" s="594"/>
    </row>
    <row r="20" spans="1:9" ht="21.75" customHeight="1">
      <c r="A20" s="594" t="s">
        <v>452</v>
      </c>
      <c r="B20" s="594"/>
      <c r="C20" s="594"/>
      <c r="D20" s="594"/>
      <c r="E20" s="594"/>
      <c r="F20" s="594"/>
      <c r="G20" s="594"/>
      <c r="H20" s="594"/>
      <c r="I20" s="594"/>
    </row>
    <row r="21" ht="13.5" customHeight="1">
      <c r="C21" s="274"/>
    </row>
    <row r="22" spans="1:4" ht="25.5" customHeight="1">
      <c r="A22" s="275" t="s">
        <v>453</v>
      </c>
      <c r="B22" s="275" t="s">
        <v>454</v>
      </c>
      <c r="C22" s="595" t="s">
        <v>455</v>
      </c>
      <c r="D22" s="595"/>
    </row>
    <row r="23" spans="1:4" ht="15.75" customHeight="1">
      <c r="A23" s="276" t="s">
        <v>456</v>
      </c>
      <c r="B23" s="277">
        <v>0.0163</v>
      </c>
      <c r="C23" s="589">
        <v>0.028999999999999998</v>
      </c>
      <c r="D23" s="589"/>
    </row>
    <row r="24" spans="1:4" ht="15.75" customHeight="1">
      <c r="A24" s="276" t="s">
        <v>457</v>
      </c>
      <c r="B24" s="278">
        <v>103333081.22</v>
      </c>
      <c r="C24" s="590">
        <v>116754372.3</v>
      </c>
      <c r="D24" s="590"/>
    </row>
    <row r="25" spans="1:4" ht="12.75">
      <c r="A25" s="279" t="s">
        <v>458</v>
      </c>
      <c r="B25" s="279"/>
      <c r="C25" s="279"/>
      <c r="D25" s="279"/>
    </row>
  </sheetData>
  <sheetProtection selectLockedCells="1" selectUnlockedCells="1"/>
  <mergeCells count="21">
    <mergeCell ref="C23:D23"/>
    <mergeCell ref="C24:D24"/>
    <mergeCell ref="C10:C17"/>
    <mergeCell ref="F10:F17"/>
    <mergeCell ref="A18:I18"/>
    <mergeCell ref="A19:I19"/>
    <mergeCell ref="A20:I20"/>
    <mergeCell ref="C22:D22"/>
    <mergeCell ref="A7:A9"/>
    <mergeCell ref="C7:C9"/>
    <mergeCell ref="D7:D9"/>
    <mergeCell ref="F7:F9"/>
    <mergeCell ref="G7:G9"/>
    <mergeCell ref="H7:I7"/>
    <mergeCell ref="A1:I1"/>
    <mergeCell ref="A2:I2"/>
    <mergeCell ref="A3:I3"/>
    <mergeCell ref="A4:I4"/>
    <mergeCell ref="A5:I5"/>
    <mergeCell ref="A6:B6"/>
    <mergeCell ref="H6:I6"/>
  </mergeCells>
  <printOptions/>
  <pageMargins left="0.5118055555555555" right="0.5118055555555555" top="0.7875" bottom="0.78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procuradoria</dc:creator>
  <cp:keywords/>
  <dc:description/>
  <cp:lastModifiedBy>Câmara Ivoti</cp:lastModifiedBy>
  <cp:lastPrinted>2023-09-14T16:34:00Z</cp:lastPrinted>
  <dcterms:created xsi:type="dcterms:W3CDTF">2023-09-15T15:28:45Z</dcterms:created>
  <dcterms:modified xsi:type="dcterms:W3CDTF">2023-10-03T20:07:47Z</dcterms:modified>
  <cp:category/>
  <cp:version/>
  <cp:contentType/>
  <cp:contentStatus/>
</cp:coreProperties>
</file>